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lconer\Dropbox\@Teaching\John- new camrecs\"/>
    </mc:Choice>
  </mc:AlternateContent>
  <bookViews>
    <workbookView xWindow="6510" yWindow="0" windowWidth="19920" windowHeight="12195"/>
  </bookViews>
  <sheets>
    <sheet name="Sheet1" sheetId="1" r:id="rId1"/>
  </sheets>
  <definedNames>
    <definedName name="ntot">Sheet1!$G$7</definedName>
    <definedName name="P">Sheet1!$B$11</definedName>
    <definedName name="Rg">Sheet1!$B$8</definedName>
    <definedName name="solver_adj" localSheetId="0" hidden="1">Sheet1!$G$9:$G$12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Sheet1!$G$11</definedName>
    <definedName name="solver_lhs2" localSheetId="0" hidden="1">Sheet1!$G$12</definedName>
    <definedName name="solver_lhs3" localSheetId="0" hidden="1">Sheet1!$G$9</definedName>
    <definedName name="solver_lhs4" localSheetId="0" hidden="1">Sheet1!$G$10</definedName>
    <definedName name="solver_lhs5" localSheetId="0" hidden="1">Sheet1!$O$11</definedName>
    <definedName name="solver_lhs6" localSheetId="0" hidden="1">Sheet1!$O$10</definedName>
    <definedName name="solver_lhs7" localSheetId="0" hidden="1">Sheet1!$O$9</definedName>
    <definedName name="solver_lhs8" localSheetId="0" hidden="1">Sheet1!$O$11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7</definedName>
    <definedName name="solver_nwt" localSheetId="0" hidden="1">1</definedName>
    <definedName name="solver_opt" localSheetId="0" hidden="1">Sheet1!$J$7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2</definedName>
    <definedName name="solver_rel6" localSheetId="0" hidden="1">2</definedName>
    <definedName name="solver_rel7" localSheetId="0" hidden="1">2</definedName>
    <definedName name="solver_rel8" localSheetId="0" hidden="1">2</definedName>
    <definedName name="solver_rhs1" localSheetId="0" hidden="1">0.000000000001</definedName>
    <definedName name="solver_rhs2" localSheetId="0" hidden="1">0.000000000001</definedName>
    <definedName name="solver_rhs3" localSheetId="0" hidden="1">0.000000000001</definedName>
    <definedName name="solver_rhs4" localSheetId="0" hidden="1">0.000000000001</definedName>
    <definedName name="solver_rhs5" localSheetId="0" hidden="1">0</definedName>
    <definedName name="solver_rhs6" localSheetId="0" hidden="1">0</definedName>
    <definedName name="solver_rhs7" localSheetId="0" hidden="1">0</definedName>
    <definedName name="solver_rhs8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  <definedName name="T">Sheet1!$B$9</definedName>
    <definedName name="TR">Sheet1!$B$10</definedName>
    <definedName name="x">Sheet1!$B$12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1" i="1"/>
  <c r="G10" i="1"/>
  <c r="G9" i="1"/>
  <c r="G7" i="1" l="1"/>
  <c r="H11" i="1" s="1"/>
  <c r="I11" i="1" s="1"/>
  <c r="H10" i="1" l="1"/>
  <c r="I10" i="1" s="1"/>
  <c r="H9" i="1"/>
  <c r="I9" i="1" s="1"/>
  <c r="H12" i="1"/>
  <c r="I12" i="1" s="1"/>
  <c r="J12" i="1" s="1"/>
  <c r="Q29" i="1"/>
  <c r="C43" i="1"/>
  <c r="C44" i="1"/>
  <c r="C45" i="1"/>
  <c r="C42" i="1"/>
  <c r="C29" i="1"/>
  <c r="C30" i="1"/>
  <c r="C31" i="1"/>
  <c r="C32" i="1"/>
  <c r="Q31" i="1" l="1"/>
  <c r="Q30" i="1"/>
  <c r="O32" i="1"/>
  <c r="P32" i="1" s="1"/>
  <c r="R32" i="1" s="1"/>
  <c r="N11" i="1" l="1"/>
  <c r="N10" i="1"/>
  <c r="N9" i="1"/>
  <c r="M11" i="1"/>
  <c r="O11" i="1" s="1"/>
  <c r="M10" i="1"/>
  <c r="O10" i="1" s="1"/>
  <c r="M9" i="1"/>
  <c r="O9" i="1" s="1"/>
  <c r="M31" i="1"/>
  <c r="L31" i="1"/>
  <c r="O31" i="1" s="1"/>
  <c r="P31" i="1" s="1"/>
  <c r="R31" i="1" s="1"/>
  <c r="K31" i="1"/>
  <c r="J31" i="1"/>
  <c r="M30" i="1"/>
  <c r="L30" i="1"/>
  <c r="K30" i="1"/>
  <c r="J30" i="1"/>
  <c r="M29" i="1"/>
  <c r="L29" i="1"/>
  <c r="K29" i="1"/>
  <c r="J29" i="1"/>
  <c r="E11" i="1" l="1"/>
  <c r="J11" i="1" s="1"/>
  <c r="O29" i="1"/>
  <c r="P29" i="1" s="1"/>
  <c r="O30" i="1"/>
  <c r="P30" i="1" s="1"/>
  <c r="T31" i="1"/>
  <c r="S31" i="1"/>
  <c r="S32" i="1"/>
  <c r="R30" i="1" l="1"/>
  <c r="T30" i="1" s="1"/>
  <c r="E10" i="1"/>
  <c r="J10" i="1" s="1"/>
  <c r="R29" i="1"/>
  <c r="E9" i="1"/>
  <c r="J9" i="1" s="1"/>
  <c r="S30" i="1"/>
  <c r="S29" i="1"/>
  <c r="J7" i="1" l="1"/>
  <c r="K45" i="1" s="1"/>
  <c r="T29" i="1"/>
</calcChain>
</file>

<file path=xl/comments1.xml><?xml version="1.0" encoding="utf-8"?>
<comments xmlns="http://schemas.openxmlformats.org/spreadsheetml/2006/main">
  <authors>
    <author>John L Falconer</author>
  </authors>
  <commentList>
    <comment ref="F8" authorId="0" shapeId="0">
      <text>
        <r>
          <rPr>
            <sz val="9"/>
            <color indexed="81"/>
            <rFont val="Tahoma"/>
            <family val="2"/>
          </rPr>
          <t>These are the moles fed to the system.</t>
        </r>
      </text>
    </comment>
    <comment ref="G8" authorId="0" shapeId="0">
      <text>
        <r>
          <rPr>
            <sz val="9"/>
            <color indexed="81"/>
            <rFont val="Tahoma"/>
            <family val="2"/>
          </rPr>
          <t>When nG is minimized, these are the equilibrium moles.</t>
        </r>
      </text>
    </comment>
    <comment ref="H8" authorId="0" shapeId="0">
      <text>
        <r>
          <rPr>
            <sz val="9"/>
            <color indexed="81"/>
            <rFont val="Tahoma"/>
            <family val="2"/>
          </rPr>
          <t xml:space="preserve">Equilibrium mole fractions when nG/RT minimized,.
</t>
        </r>
      </text>
    </comment>
    <comment ref="A12" authorId="0" shapeId="0">
      <text>
        <r>
          <rPr>
            <sz val="9"/>
            <color indexed="81"/>
            <rFont val="Tahoma"/>
            <family val="2"/>
          </rPr>
          <t>fractional conversion</t>
        </r>
      </text>
    </comment>
    <comment ref="N28" authorId="0" shapeId="0">
      <text>
        <r>
          <rPr>
            <sz val="9"/>
            <color indexed="81"/>
            <rFont val="Tahoma"/>
            <family val="2"/>
          </rPr>
          <t xml:space="preserve">These heat of formation at 298 K are from a table.
</t>
        </r>
      </text>
    </comment>
    <comment ref="U28" authorId="0" shapeId="0">
      <text>
        <r>
          <rPr>
            <sz val="9"/>
            <color indexed="81"/>
            <rFont val="Tahoma"/>
            <family val="2"/>
          </rPr>
          <t xml:space="preserve">These Gibbs free energies of formation  at 298 K are from a table.
</t>
        </r>
      </text>
    </comment>
  </commentList>
</comments>
</file>

<file path=xl/sharedStrings.xml><?xml version="1.0" encoding="utf-8"?>
<sst xmlns="http://schemas.openxmlformats.org/spreadsheetml/2006/main" count="89" uniqueCount="65">
  <si>
    <t>Department of Chemical and Biological Engineering</t>
  </si>
  <si>
    <t>University of Colorado Boulder</t>
  </si>
  <si>
    <t>www.LearnChemE.com</t>
  </si>
  <si>
    <r>
      <t>n</t>
    </r>
    <r>
      <rPr>
        <vertAlign val="subscript"/>
        <sz val="11"/>
        <color theme="1"/>
        <rFont val="Calibri"/>
        <family val="2"/>
        <scheme val="minor"/>
      </rPr>
      <t>in</t>
    </r>
  </si>
  <si>
    <r>
      <t>n</t>
    </r>
    <r>
      <rPr>
        <vertAlign val="subscript"/>
        <sz val="11"/>
        <color theme="1"/>
        <rFont val="Calibri"/>
        <family val="2"/>
        <scheme val="minor"/>
      </rPr>
      <t>out</t>
    </r>
  </si>
  <si>
    <t>A</t>
  </si>
  <si>
    <t>B</t>
  </si>
  <si>
    <t>C</t>
  </si>
  <si>
    <t>D</t>
  </si>
  <si>
    <t>element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</si>
  <si>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A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</si>
  <si>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D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</si>
  <si>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</si>
  <si>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</t>
    </r>
  </si>
  <si>
    <t>molecule</t>
  </si>
  <si>
    <t>Atomic balances</t>
  </si>
  <si>
    <t>H</t>
  </si>
  <si>
    <t>O</t>
  </si>
  <si>
    <t>J</t>
  </si>
  <si>
    <t>kJ/(mol K)</t>
  </si>
  <si>
    <t>I</t>
  </si>
  <si>
    <t>273-1800</t>
  </si>
  <si>
    <t>range(K)</t>
  </si>
  <si>
    <t>CO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</si>
  <si>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</si>
  <si>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</si>
  <si>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</si>
  <si>
    <t>out</t>
  </si>
  <si>
    <t>in</t>
  </si>
  <si>
    <t>out-in</t>
  </si>
  <si>
    <t>kJ/mol</t>
  </si>
  <si>
    <r>
      <t>O</t>
    </r>
    <r>
      <rPr>
        <vertAlign val="subscript"/>
        <sz val="11"/>
        <color theme="1"/>
        <rFont val="Calibri"/>
        <family val="2"/>
        <scheme val="minor"/>
      </rPr>
      <t>2</t>
    </r>
  </si>
  <si>
    <r>
      <t>N</t>
    </r>
    <r>
      <rPr>
        <vertAlign val="subscript"/>
        <sz val="11"/>
        <color theme="1"/>
        <rFont val="Calibri"/>
        <family val="2"/>
        <scheme val="minor"/>
      </rPr>
      <t>2</t>
    </r>
  </si>
  <si>
    <t>Atom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</si>
  <si>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i/>
        <sz val="11"/>
        <color theme="1"/>
        <rFont val="Calibri"/>
        <family val="2"/>
        <scheme val="minor"/>
      </rPr>
      <t xml:space="preserve"> (J/(mol K) </t>
    </r>
    <r>
      <rPr>
        <sz val="11"/>
        <color theme="1"/>
        <rFont val="Calibri"/>
        <family val="2"/>
        <scheme val="minor"/>
      </rPr>
      <t>for formation reactions</t>
    </r>
  </si>
  <si>
    <t xml:space="preserve">K </t>
  </si>
  <si>
    <t>K</t>
  </si>
  <si>
    <t>bar</t>
  </si>
  <si>
    <t>J/(mol K)</t>
  </si>
  <si>
    <t>300-2400</t>
  </si>
  <si>
    <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at T</t>
    </r>
  </si>
  <si>
    <r>
      <t>n</t>
    </r>
    <r>
      <rPr>
        <vertAlign val="subscript"/>
        <sz val="11"/>
        <color theme="1"/>
        <rFont val="Calibri"/>
        <family val="2"/>
        <scheme val="minor"/>
      </rPr>
      <t>total,out</t>
    </r>
    <r>
      <rPr>
        <sz val="11"/>
        <color theme="1"/>
        <rFont val="Calibri"/>
        <family val="2"/>
        <scheme val="minor"/>
      </rPr>
      <t>=</t>
    </r>
  </si>
  <si>
    <t xml:space="preserve">kJ/mol </t>
  </si>
  <si>
    <t>input values in green</t>
  </si>
  <si>
    <t xml:space="preserve">for the water-gas shift reaction </t>
  </si>
  <si>
    <t>nG/RT=</t>
  </si>
  <si>
    <r>
      <t>Heat capacity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</si>
  <si>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r>
      <t>Heat capacity of elements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</si>
  <si>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t>Temperature (K)</t>
  </si>
  <si>
    <t xml:space="preserve">             Conversion</t>
  </si>
  <si>
    <t>Plot Gibbs free energy versus conversion</t>
  </si>
  <si>
    <r>
      <t>y</t>
    </r>
    <r>
      <rPr>
        <vertAlign val="subscript"/>
        <sz val="11"/>
        <color theme="1"/>
        <rFont val="Calibri"/>
        <family val="2"/>
        <scheme val="minor"/>
      </rPr>
      <t>i</t>
    </r>
  </si>
  <si>
    <r>
      <t>ln(y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</si>
  <si>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  <r>
      <rPr>
        <sz val="11"/>
        <color theme="1"/>
        <rFont val="Calibri"/>
        <family val="2"/>
        <scheme val="minor"/>
      </rPr>
      <t>/RT</t>
    </r>
    <r>
      <rPr>
        <vertAlign val="subscript"/>
        <sz val="11"/>
        <color theme="1"/>
        <rFont val="Calibri"/>
        <family val="2"/>
        <scheme val="minor"/>
      </rPr>
      <t>R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</si>
  <si>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>/RT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</si>
  <si>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</si>
  <si>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</si>
  <si>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</si>
  <si>
    <r>
      <t>n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*(G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if,T</t>
    </r>
    <r>
      <rPr>
        <sz val="11"/>
        <color theme="1"/>
        <rFont val="Calibri"/>
        <family val="2"/>
        <scheme val="minor"/>
      </rPr>
      <t>/RT + ln(y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*P))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</si>
  <si>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</si>
  <si>
    <r>
      <t>R</t>
    </r>
    <r>
      <rPr>
        <vertAlign val="subscript"/>
        <sz val="11"/>
        <color theme="1"/>
        <rFont val="Calibri"/>
        <family val="2"/>
        <scheme val="minor"/>
      </rPr>
      <t xml:space="preserve">g </t>
    </r>
    <r>
      <rPr>
        <sz val="11"/>
        <color theme="1"/>
        <rFont val="Calibri"/>
        <family val="2"/>
        <scheme val="minor"/>
      </rPr>
      <t>=</t>
    </r>
  </si>
  <si>
    <t>T =</t>
  </si>
  <si>
    <t>P =</t>
  </si>
  <si>
    <t>X =</t>
  </si>
  <si>
    <r>
      <t>T</t>
    </r>
    <r>
      <rPr>
        <vertAlign val="sub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</si>
</sst>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3" xfId="0" applyFill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5" fillId="0" borderId="0" xfId="0" applyFont="1"/>
    <xf numFmtId="165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0" borderId="0" xfId="0" applyBorder="1" applyAlignment="1">
      <alignment horizontal="center"/>
    </xf>
    <xf numFmtId="11" fontId="0" fillId="2" borderId="4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/>
    <xf numFmtId="0" fontId="6" fillId="0" borderId="0" xfId="0" applyFont="1" applyAlignment="1">
      <alignment horizontal="left"/>
    </xf>
    <xf numFmtId="0" fontId="0" fillId="0" borderId="4" xfId="0" applyFont="1" applyBorder="1" applyAlignment="1">
      <alignment horizontal="right" vertical="center"/>
    </xf>
    <xf numFmtId="0" fontId="0" fillId="3" borderId="0" xfId="0" applyFill="1"/>
    <xf numFmtId="0" fontId="8" fillId="0" borderId="3" xfId="0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165" fontId="0" fillId="4" borderId="4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2" fontId="0" fillId="2" borderId="4" xfId="0" applyNumberForma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0" fillId="0" borderId="10" xfId="0" applyFont="1" applyBorder="1" applyAlignment="1">
      <alignment horizontal="center" textRotation="90"/>
    </xf>
    <xf numFmtId="0" fontId="0" fillId="0" borderId="1" xfId="0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FF99"/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500 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Sheet1!$K$46:$K$68</c:f>
              <c:numCache>
                <c:formatCode>0.000</c:formatCode>
                <c:ptCount val="23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0.92</c:v>
                </c:pt>
                <c:pt idx="19">
                  <c:v>0.94</c:v>
                </c:pt>
                <c:pt idx="20">
                  <c:v>0.97</c:v>
                </c:pt>
                <c:pt idx="21">
                  <c:v>0.99</c:v>
                </c:pt>
                <c:pt idx="22">
                  <c:v>0.995</c:v>
                </c:pt>
              </c:numCache>
            </c:numRef>
          </c:xVal>
          <c:yVal>
            <c:numRef>
              <c:f>Sheet1!$L$46:$L$68</c:f>
              <c:numCache>
                <c:formatCode>0.00</c:formatCode>
                <c:ptCount val="23"/>
                <c:pt idx="0">
                  <c:v>-92.155785618790858</c:v>
                </c:pt>
                <c:pt idx="1">
                  <c:v>-92.654327951521267</c:v>
                </c:pt>
                <c:pt idx="2">
                  <c:v>-93.094987052989623</c:v>
                </c:pt>
                <c:pt idx="3">
                  <c:v>-93.495780597093301</c:v>
                </c:pt>
                <c:pt idx="4">
                  <c:v>-93.865052911893812</c:v>
                </c:pt>
                <c:pt idx="5">
                  <c:v>-94.207518099405249</c:v>
                </c:pt>
                <c:pt idx="6">
                  <c:v>-94.52608964600401</c:v>
                </c:pt>
                <c:pt idx="7">
                  <c:v>-94.822626574592533</c:v>
                </c:pt>
                <c:pt idx="8">
                  <c:v>-95.098287740640458</c:v>
                </c:pt>
                <c:pt idx="9">
                  <c:v>-95.353711346972446</c:v>
                </c:pt>
                <c:pt idx="10">
                  <c:v>-95.589101485918988</c:v>
                </c:pt>
                <c:pt idx="11">
                  <c:v>-95.804254065149607</c:v>
                </c:pt>
                <c:pt idx="12">
                  <c:v>-95.998530881839613</c:v>
                </c:pt>
                <c:pt idx="13">
                  <c:v>-96.17077308051941</c:v>
                </c:pt>
                <c:pt idx="14">
                  <c:v>-96.319121638286504</c:v>
                </c:pt>
                <c:pt idx="15">
                  <c:v>-96.44066306876455</c:v>
                </c:pt>
                <c:pt idx="16">
                  <c:v>-96.530683269939416</c:v>
                </c:pt>
                <c:pt idx="17">
                  <c:v>-96.580837913749605</c:v>
                </c:pt>
                <c:pt idx="18">
                  <c:v>-96.586373459559596</c:v>
                </c:pt>
                <c:pt idx="19">
                  <c:v>-96.580932510079336</c:v>
                </c:pt>
                <c:pt idx="20">
                  <c:v>-96.543725925021235</c:v>
                </c:pt>
                <c:pt idx="21">
                  <c:v>-96.484407406427096</c:v>
                </c:pt>
                <c:pt idx="22">
                  <c:v>-96.459903156875669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9D5-44CB-9C9D-4B6DFA42C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884344"/>
        <c:axId val="714884672"/>
      </c:scatterChart>
      <c:valAx>
        <c:axId val="714884344"/>
        <c:scaling>
          <c:orientation val="minMax"/>
          <c:max val="1"/>
          <c:min val="0.7000000000000000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Conversion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884672"/>
        <c:crossesAt val="-96.8"/>
        <c:crossBetween val="midCat"/>
      </c:valAx>
      <c:valAx>
        <c:axId val="714884672"/>
        <c:scaling>
          <c:orientation val="minMax"/>
          <c:max val="-96.2"/>
          <c:min val="-96.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nG /RT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884344"/>
        <c:crosses val="autoZero"/>
        <c:crossBetween val="midCat"/>
        <c:majorUnit val="0.1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1000 K</a:t>
            </a:r>
          </a:p>
          <a:p>
            <a:pPr>
              <a:defRPr/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646890956812216"/>
          <c:y val="0.12245296702556527"/>
          <c:w val="0.7884523979957051"/>
          <c:h val="0.69844111645646989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Sheet1!$K$46:$K$68</c:f>
              <c:numCache>
                <c:formatCode>0.000</c:formatCode>
                <c:ptCount val="23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0.92</c:v>
                </c:pt>
                <c:pt idx="19">
                  <c:v>0.94</c:v>
                </c:pt>
                <c:pt idx="20">
                  <c:v>0.97</c:v>
                </c:pt>
                <c:pt idx="21">
                  <c:v>0.99</c:v>
                </c:pt>
                <c:pt idx="22">
                  <c:v>0.995</c:v>
                </c:pt>
              </c:numCache>
            </c:numRef>
          </c:xVal>
          <c:yVal>
            <c:numRef>
              <c:f>Sheet1!$Q$46:$Q$68</c:f>
              <c:numCache>
                <c:formatCode>0.00</c:formatCode>
                <c:ptCount val="23"/>
                <c:pt idx="0">
                  <c:v>-49.358796555029812</c:v>
                </c:pt>
                <c:pt idx="1">
                  <c:v>-49.629882056651091</c:v>
                </c:pt>
                <c:pt idx="2">
                  <c:v>-49.843084327010274</c:v>
                </c:pt>
                <c:pt idx="3">
                  <c:v>-50.016421040004786</c:v>
                </c:pt>
                <c:pt idx="4">
                  <c:v>-50.158236523696132</c:v>
                </c:pt>
                <c:pt idx="5">
                  <c:v>-50.27324488009841</c:v>
                </c:pt>
                <c:pt idx="6">
                  <c:v>-50.364359595587992</c:v>
                </c:pt>
                <c:pt idx="7">
                  <c:v>-50.433439693067349</c:v>
                </c:pt>
                <c:pt idx="8">
                  <c:v>-50.48164402800613</c:v>
                </c:pt>
                <c:pt idx="9">
                  <c:v>-50.509610803228952</c:v>
                </c:pt>
                <c:pt idx="10">
                  <c:v>-50.51754411106635</c:v>
                </c:pt>
                <c:pt idx="11">
                  <c:v>-50.505239859187789</c:v>
                </c:pt>
                <c:pt idx="12">
                  <c:v>-50.472059844768658</c:v>
                </c:pt>
                <c:pt idx="13">
                  <c:v>-50.416845212339275</c:v>
                </c:pt>
                <c:pt idx="14">
                  <c:v>-50.337736938997217</c:v>
                </c:pt>
                <c:pt idx="15">
                  <c:v>-50.231821538366091</c:v>
                </c:pt>
                <c:pt idx="16">
                  <c:v>-50.094384908431806</c:v>
                </c:pt>
                <c:pt idx="17">
                  <c:v>-49.917082721132829</c:v>
                </c:pt>
                <c:pt idx="18">
                  <c:v>-49.831635534499156</c:v>
                </c:pt>
                <c:pt idx="19">
                  <c:v>-49.735211852575233</c:v>
                </c:pt>
                <c:pt idx="20">
                  <c:v>-49.561531168851616</c:v>
                </c:pt>
                <c:pt idx="21">
                  <c:v>-49.411229917813827</c:v>
                </c:pt>
                <c:pt idx="22">
                  <c:v>-49.363979985151474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D0-47C9-8F98-FB0850888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893200"/>
        <c:axId val="714886640"/>
      </c:scatterChart>
      <c:valAx>
        <c:axId val="71489320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Conversion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886640"/>
        <c:crossesAt val="-50.6"/>
        <c:crossBetween val="midCat"/>
      </c:valAx>
      <c:valAx>
        <c:axId val="714886640"/>
        <c:scaling>
          <c:orientation val="minMax"/>
          <c:max val="-49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nG/RT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893200"/>
        <c:crosses val="autoZero"/>
        <c:crossBetween val="midCat"/>
        <c:majorUnit val="0.2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1100 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Sheet1!$K$46:$K$68</c:f>
              <c:numCache>
                <c:formatCode>0.000</c:formatCode>
                <c:ptCount val="23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0.92</c:v>
                </c:pt>
                <c:pt idx="19">
                  <c:v>0.94</c:v>
                </c:pt>
                <c:pt idx="20">
                  <c:v>0.97</c:v>
                </c:pt>
                <c:pt idx="21">
                  <c:v>0.99</c:v>
                </c:pt>
                <c:pt idx="22">
                  <c:v>0.995</c:v>
                </c:pt>
              </c:numCache>
            </c:numRef>
          </c:xVal>
          <c:yVal>
            <c:numRef>
              <c:f>Sheet1!$R$46:$R$68</c:f>
              <c:numCache>
                <c:formatCode>0.00</c:formatCode>
                <c:ptCount val="23"/>
                <c:pt idx="0">
                  <c:v>-45.462067208493366</c:v>
                </c:pt>
                <c:pt idx="1">
                  <c:v>-45.714761508673725</c:v>
                </c:pt>
                <c:pt idx="2">
                  <c:v>-45.909572577592002</c:v>
                </c:pt>
                <c:pt idx="3">
                  <c:v>-46.064518089145608</c:v>
                </c:pt>
                <c:pt idx="4">
                  <c:v>-46.187942371396041</c:v>
                </c:pt>
                <c:pt idx="5">
                  <c:v>-46.284559526357405</c:v>
                </c:pt>
                <c:pt idx="6">
                  <c:v>-46.357283040406088</c:v>
                </c:pt>
                <c:pt idx="7">
                  <c:v>-46.407971936444532</c:v>
                </c:pt>
                <c:pt idx="8">
                  <c:v>-46.437785069942393</c:v>
                </c:pt>
                <c:pt idx="9">
                  <c:v>-46.447360643724309</c:v>
                </c:pt>
                <c:pt idx="10">
                  <c:v>-46.436902750120794</c:v>
                </c:pt>
                <c:pt idx="11">
                  <c:v>-46.406207296801327</c:v>
                </c:pt>
                <c:pt idx="12">
                  <c:v>-46.354636080941276</c:v>
                </c:pt>
                <c:pt idx="13">
                  <c:v>-46.281030247070987</c:v>
                </c:pt>
                <c:pt idx="14">
                  <c:v>-46.18353077228803</c:v>
                </c:pt>
                <c:pt idx="15">
                  <c:v>-46.059224170215984</c:v>
                </c:pt>
                <c:pt idx="16">
                  <c:v>-45.903396338840786</c:v>
                </c:pt>
                <c:pt idx="17">
                  <c:v>-45.707702950100895</c:v>
                </c:pt>
                <c:pt idx="18">
                  <c:v>-45.614899282890867</c:v>
                </c:pt>
                <c:pt idx="19">
                  <c:v>-45.511119120390575</c:v>
                </c:pt>
                <c:pt idx="20">
                  <c:v>-45.326403715802407</c:v>
                </c:pt>
                <c:pt idx="21">
                  <c:v>-45.168745984188256</c:v>
                </c:pt>
                <c:pt idx="22">
                  <c:v>-45.119656931381812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DC-4ADF-AB70-1E4CE1117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5034520"/>
        <c:axId val="645033864"/>
      </c:scatterChart>
      <c:valAx>
        <c:axId val="64503452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Conversion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033864"/>
        <c:crossesAt val="-46.6"/>
        <c:crossBetween val="midCat"/>
      </c:valAx>
      <c:valAx>
        <c:axId val="645033864"/>
        <c:scaling>
          <c:orientation val="minMax"/>
          <c:max val="-45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nG/RT</a:t>
                </a:r>
              </a:p>
            </c:rich>
          </c:tx>
          <c:layout>
            <c:manualLayout>
              <c:xMode val="edge"/>
              <c:yMode val="edge"/>
              <c:x val="2.9976585218475019E-2"/>
              <c:y val="0.438456246230875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034520"/>
        <c:crossesAt val="0"/>
        <c:crossBetween val="midCat"/>
        <c:majorUnit val="0.2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900 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Sheet1!$K$46:$K$68</c:f>
              <c:numCache>
                <c:formatCode>0.000</c:formatCode>
                <c:ptCount val="23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0.92</c:v>
                </c:pt>
                <c:pt idx="19">
                  <c:v>0.94</c:v>
                </c:pt>
                <c:pt idx="20">
                  <c:v>0.97</c:v>
                </c:pt>
                <c:pt idx="21">
                  <c:v>0.99</c:v>
                </c:pt>
                <c:pt idx="22">
                  <c:v>0.995</c:v>
                </c:pt>
              </c:numCache>
            </c:numRef>
          </c:xVal>
          <c:yVal>
            <c:numRef>
              <c:f>Sheet1!$P$46:$P$68</c:f>
              <c:numCache>
                <c:formatCode>0.00</c:formatCode>
                <c:ptCount val="23"/>
                <c:pt idx="0">
                  <c:v>-54.120963818759165</c:v>
                </c:pt>
                <c:pt idx="1">
                  <c:v>-54.41534425185241</c:v>
                </c:pt>
                <c:pt idx="2">
                  <c:v>-54.651841453683559</c:v>
                </c:pt>
                <c:pt idx="3">
                  <c:v>-54.848473098150031</c:v>
                </c:pt>
                <c:pt idx="4">
                  <c:v>-55.01358351331335</c:v>
                </c:pt>
                <c:pt idx="5">
                  <c:v>-55.151886801187594</c:v>
                </c:pt>
                <c:pt idx="6">
                  <c:v>-55.266296448149149</c:v>
                </c:pt>
                <c:pt idx="7">
                  <c:v>-55.358671477100465</c:v>
                </c:pt>
                <c:pt idx="8">
                  <c:v>-55.430170743511205</c:v>
                </c:pt>
                <c:pt idx="9">
                  <c:v>-55.481432450205993</c:v>
                </c:pt>
                <c:pt idx="10">
                  <c:v>-55.512660689515357</c:v>
                </c:pt>
                <c:pt idx="11">
                  <c:v>-55.523651369108769</c:v>
                </c:pt>
                <c:pt idx="12">
                  <c:v>-55.513766286161591</c:v>
                </c:pt>
                <c:pt idx="13">
                  <c:v>-55.481846585204195</c:v>
                </c:pt>
                <c:pt idx="14">
                  <c:v>-55.426033243334096</c:v>
                </c:pt>
                <c:pt idx="15">
                  <c:v>-55.343412774174929</c:v>
                </c:pt>
                <c:pt idx="16">
                  <c:v>-55.22927107571261</c:v>
                </c:pt>
                <c:pt idx="17">
                  <c:v>-55.075263819885606</c:v>
                </c:pt>
                <c:pt idx="18">
                  <c:v>-54.999134605840716</c:v>
                </c:pt>
                <c:pt idx="19">
                  <c:v>-54.912028896505575</c:v>
                </c:pt>
                <c:pt idx="20">
                  <c:v>-54.752325171665134</c:v>
                </c:pt>
                <c:pt idx="21">
                  <c:v>-54.611341893216142</c:v>
                </c:pt>
                <c:pt idx="22">
                  <c:v>-54.566421453700976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6A9-4328-8E69-7020609A0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1769568"/>
        <c:axId val="651767272"/>
      </c:scatterChart>
      <c:valAx>
        <c:axId val="65176956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Conversion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1767272"/>
        <c:crossesAt val="-55.6"/>
        <c:crossBetween val="midCat"/>
      </c:valAx>
      <c:valAx>
        <c:axId val="651767272"/>
        <c:scaling>
          <c:orientation val="minMax"/>
          <c:max val="-54.6"/>
          <c:min val="-55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nG/RT</a:t>
                </a:r>
              </a:p>
            </c:rich>
          </c:tx>
          <c:layout>
            <c:manualLayout>
              <c:xMode val="edge"/>
              <c:yMode val="edge"/>
              <c:x val="2.4577575342847501E-2"/>
              <c:y val="0.395341146757996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1769568"/>
        <c:crosses val="autoZero"/>
        <c:crossBetween val="midCat"/>
        <c:majorUnit val="0.2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700 K</a:t>
            </a:r>
          </a:p>
          <a:p>
            <a:pPr>
              <a:defRPr/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302450369475181"/>
          <c:y val="0.11708084640871649"/>
          <c:w val="0.80782648513916688"/>
          <c:h val="0.73331292929032588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Sheet1!$K$46:$K$68</c:f>
              <c:numCache>
                <c:formatCode>0.000</c:formatCode>
                <c:ptCount val="23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0.92</c:v>
                </c:pt>
                <c:pt idx="19">
                  <c:v>0.94</c:v>
                </c:pt>
                <c:pt idx="20">
                  <c:v>0.97</c:v>
                </c:pt>
                <c:pt idx="21">
                  <c:v>0.99</c:v>
                </c:pt>
                <c:pt idx="22">
                  <c:v>0.995</c:v>
                </c:pt>
              </c:numCache>
            </c:numRef>
          </c:xVal>
          <c:yVal>
            <c:numRef>
              <c:f>Sheet1!$N$46:$N$68</c:f>
              <c:numCache>
                <c:formatCode>0.00</c:formatCode>
                <c:ptCount val="23"/>
                <c:pt idx="0">
                  <c:v>-67.718347728350679</c:v>
                </c:pt>
                <c:pt idx="1">
                  <c:v>-68.08289222635706</c:v>
                </c:pt>
                <c:pt idx="2">
                  <c:v>-68.389553493101374</c:v>
                </c:pt>
                <c:pt idx="3">
                  <c:v>-68.65634920248101</c:v>
                </c:pt>
                <c:pt idx="4">
                  <c:v>-68.89162368255748</c:v>
                </c:pt>
                <c:pt idx="5">
                  <c:v>-69.100091035344875</c:v>
                </c:pt>
                <c:pt idx="6">
                  <c:v>-69.284664747219594</c:v>
                </c:pt>
                <c:pt idx="7">
                  <c:v>-69.447203841084075</c:v>
                </c:pt>
                <c:pt idx="8">
                  <c:v>-69.588867172407959</c:v>
                </c:pt>
                <c:pt idx="9">
                  <c:v>-69.710292944015919</c:v>
                </c:pt>
                <c:pt idx="10">
                  <c:v>-69.811685248238419</c:v>
                </c:pt>
                <c:pt idx="11">
                  <c:v>-69.892839992744996</c:v>
                </c:pt>
                <c:pt idx="12">
                  <c:v>-69.953118974710975</c:v>
                </c:pt>
                <c:pt idx="13">
                  <c:v>-69.991363338666716</c:v>
                </c:pt>
                <c:pt idx="14">
                  <c:v>-70.005714061709796</c:v>
                </c:pt>
                <c:pt idx="15">
                  <c:v>-69.993257657463801</c:v>
                </c:pt>
                <c:pt idx="16">
                  <c:v>-69.949280023914625</c:v>
                </c:pt>
                <c:pt idx="17">
                  <c:v>-69.865436833000771</c:v>
                </c:pt>
                <c:pt idx="18">
                  <c:v>-69.817373244921143</c:v>
                </c:pt>
                <c:pt idx="19">
                  <c:v>-69.758333161551263</c:v>
                </c:pt>
                <c:pt idx="20">
                  <c:v>-69.640727875658754</c:v>
                </c:pt>
                <c:pt idx="21">
                  <c:v>-69.527810223174995</c:v>
                </c:pt>
                <c:pt idx="22">
                  <c:v>-69.48990619015116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03-4B8F-9B23-740CC99B6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1124792"/>
        <c:axId val="771121184"/>
      </c:scatterChart>
      <c:valAx>
        <c:axId val="771124792"/>
        <c:scaling>
          <c:orientation val="minMax"/>
          <c:max val="1"/>
          <c:min val="0.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Conversion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1121184"/>
        <c:crossesAt val="-70.2"/>
        <c:crossBetween val="midCat"/>
      </c:valAx>
      <c:valAx>
        <c:axId val="771121184"/>
        <c:scaling>
          <c:orientation val="minMax"/>
          <c:max val="-69.400000000000006"/>
          <c:min val="-7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nG/RT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1124792"/>
        <c:crosses val="autoZero"/>
        <c:crossBetween val="midCat"/>
        <c:majorUnit val="0.2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469106</xdr:colOff>
      <xdr:row>38</xdr:row>
      <xdr:rowOff>145258</xdr:rowOff>
    </xdr:from>
    <xdr:to>
      <xdr:col>12</xdr:col>
      <xdr:colOff>440531</xdr:colOff>
      <xdr:row>42</xdr:row>
      <xdr:rowOff>130968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7469981" y="4431508"/>
              <a:ext cx="1531144" cy="83105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Formation reactions</a:t>
              </a: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+0.5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𝐶𝑂</m:t>
                    </m:r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+0.5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𝑂</m:t>
                    </m:r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7469981" y="4431508"/>
              <a:ext cx="1531144" cy="831054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Formation reactions</a:t>
              </a: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𝐶+0.5𝑂_2→𝐶𝑂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𝐻_2+0.5𝑂_2→𝐻_2 𝑂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𝐶+𝑂_2→𝐶𝑂_2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0</xdr:col>
      <xdr:colOff>68037</xdr:colOff>
      <xdr:row>46</xdr:row>
      <xdr:rowOff>44788</xdr:rowOff>
    </xdr:from>
    <xdr:to>
      <xdr:col>9</xdr:col>
      <xdr:colOff>27215</xdr:colOff>
      <xdr:row>73</xdr:row>
      <xdr:rowOff>171789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68037" y="6113574"/>
              <a:ext cx="6313714" cy="527050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14:m>
                <m:oMath xmlns:m="http://schemas.openxmlformats.org/officeDocument/2006/math">
                  <m:f>
                    <m:f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𝑛𝐺</m:t>
                      </m:r>
                    </m:num>
                    <m:den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RT</m:t>
                      </m:r>
                    </m:den>
                  </m:f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Σ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[</m:t>
                  </m:r>
                  <m:f>
                    <m:f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x-IV_mathan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𝑓</m:t>
                          </m:r>
                          <m: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m:rPr>
                              <m:sty m:val="p"/>
                            </m:rP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i</m:t>
                          </m:r>
                          <m: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sub>
                        <m:sup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</m:num>
                    <m:den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den>
                  </m:f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m:rPr>
                      <m:sty m:val="p"/>
                    </m:rPr>
                    <a:rPr lang="x-IV_mathan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ln</m:t>
                  </m:r>
                  <m: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y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i</m:t>
                      </m:r>
                    </m:sub>
                  </m:sSub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𝑃</m:t>
                  </m:r>
                  <m: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𝑂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𝑂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</m:oMath>
              </a14:m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T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o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bSup>
                          </m:e>
                        </m:d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 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𝑎𝑛𝑑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</m:oMath>
              </a14:m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68037" y="6113574"/>
              <a:ext cx="6313714" cy="527050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/RT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Σ𝑛_𝑖 [(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Δ𝐺_(𝑓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i,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𝑇)^𝑜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)/𝑅𝑇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+ln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(y_i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𝑃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𝑛_(𝐶,𝑖𝑛)=𝑛_(𝐶,𝑜𝑢𝑡)      𝑛_(𝑂,𝑖𝑛)=𝑛_(𝑂,𝑜𝑢𝑡)      𝑛_(𝐻,𝑖𝑛)=𝑛_(𝐻,𝑜𝑢𝑡)</a:t>
              </a:r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H_T^o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+Δ𝐴(𝑇−𝑇_𝑅 )+Δ𝐵/2 (𝑇^2−𝑇_𝑅^2 )+Δ𝐶/3 (𝑇^3−𝑇_𝑅^3 )+Δ𝐷/4(𝑇^4−𝑇_𝑅^4)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−Δ𝐴𝑇_𝑅−Δ𝐵/2 𝑇_𝑅^2−Δ𝐶/3 𝑇_𝑅^3−Δ𝐷/4 𝑇_𝑅^4+Δ𝐴𝑇+Δ𝐵/2 𝑇^2+Δ𝐶/3 𝑇^3+Δ𝐷/4 𝑇^4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J=Δ𝐻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−Δ𝐴𝑇_𝑅−Δ𝐵/2 𝑇_𝑅^2−Δ𝐶/3 𝑇_𝑅^3−Δ𝐷/4 𝑇_𝑅^4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=J+Δ𝐴𝑇+Δ𝐵/2 𝑇^2+Δ𝐶/3 𝑇^3+Δ𝐷/4 𝑇^4</a:t>
              </a:r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  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)−1/𝑅 [−𝐽/𝑇+𝐽/𝑇_𝑅 +Δ𝐴(𝑙𝑛𝑇−𝑙𝑛𝑇_𝑅 )+Δ𝐵/2 (𝑇−𝑇_𝑅 )+Δ𝐶/6 (𝑇^2−𝑇_𝑅^2 )+Δ𝐷/12 (𝑇^3−𝑇_𝑅^3 )]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)+1/𝑅 [−𝐽/𝑇_𝑅 +Δ𝐴𝑙𝑛𝑇_𝑅+Δ𝐵/2 𝑇_𝑅+Δ𝐶/6 𝑇_𝑅^2+Δ𝐷/12 𝑇_𝑅^3 ]+1/𝑅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𝐼=1/𝑅 [−𝐽/𝑇_𝑅 +Δ𝐴𝑙𝑛𝑇_𝑅+Δ𝐵/2 𝑇_𝑅+Δ𝐶/6 𝑇_𝑅^2+Δ𝐷/12 𝑇_𝑅^3 ]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)+𝐼+1/𝑅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Δ𝐺,  𝑎𝑛𝑑  Δ𝐻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Δ𝐶_𝑃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Δ𝐶_𝑃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Fallback>
    </mc:AlternateContent>
    <xdr:clientData/>
  </xdr:twoCellAnchor>
  <xdr:twoCellAnchor>
    <xdr:from>
      <xdr:col>21</xdr:col>
      <xdr:colOff>130969</xdr:colOff>
      <xdr:row>0</xdr:row>
      <xdr:rowOff>158352</xdr:rowOff>
    </xdr:from>
    <xdr:to>
      <xdr:col>29</xdr:col>
      <xdr:colOff>416720</xdr:colOff>
      <xdr:row>30</xdr:row>
      <xdr:rowOff>214312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250031</xdr:colOff>
      <xdr:row>76</xdr:row>
      <xdr:rowOff>39292</xdr:rowOff>
    </xdr:from>
    <xdr:to>
      <xdr:col>30</xdr:col>
      <xdr:colOff>23812</xdr:colOff>
      <xdr:row>96</xdr:row>
      <xdr:rowOff>119063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285749</xdr:colOff>
      <xdr:row>69</xdr:row>
      <xdr:rowOff>54597</xdr:rowOff>
    </xdr:from>
    <xdr:to>
      <xdr:col>21</xdr:col>
      <xdr:colOff>39120</xdr:colOff>
      <xdr:row>89</xdr:row>
      <xdr:rowOff>79940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226219</xdr:colOff>
      <xdr:row>56</xdr:row>
      <xdr:rowOff>110728</xdr:rowOff>
    </xdr:from>
    <xdr:to>
      <xdr:col>29</xdr:col>
      <xdr:colOff>535781</xdr:colOff>
      <xdr:row>75</xdr:row>
      <xdr:rowOff>107156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273845</xdr:colOff>
      <xdr:row>31</xdr:row>
      <xdr:rowOff>95251</xdr:rowOff>
    </xdr:from>
    <xdr:to>
      <xdr:col>29</xdr:col>
      <xdr:colOff>500063</xdr:colOff>
      <xdr:row>56</xdr:row>
      <xdr:rowOff>23812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496658</xdr:colOff>
      <xdr:row>0</xdr:row>
      <xdr:rowOff>91847</xdr:rowOff>
    </xdr:from>
    <xdr:to>
      <xdr:col>20</xdr:col>
      <xdr:colOff>130968</xdr:colOff>
      <xdr:row>5</xdr:row>
      <xdr:rowOff>119061</xdr:rowOff>
    </xdr:to>
    <xdr:sp macro="" textlink="">
      <xdr:nvSpPr>
        <xdr:cNvPr id="4" name="TextBox 3"/>
        <xdr:cNvSpPr txBox="1"/>
      </xdr:nvSpPr>
      <xdr:spPr>
        <a:xfrm>
          <a:off x="8283346" y="91847"/>
          <a:ext cx="5504091" cy="100352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spreadsheet generates a data table of normalized Gibbs free energy (nG/RT) for the water-gas shift reaction as a function of temperature and fractional conversion. The values in the table are used to plot nG/RT as a function of fractional conversion for five temperatures. The heat capacities and the heat of reaction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 functions of temperature.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 = total moles,  G = Gibbs free energy per mole, R = gas constant,  T = temperature 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arncheme.com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68"/>
  <sheetViews>
    <sheetView tabSelected="1" topLeftCell="A53" zoomScale="90" zoomScaleNormal="90" workbookViewId="0">
      <selection activeCell="A13" sqref="A13"/>
    </sheetView>
  </sheetViews>
  <sheetFormatPr defaultRowHeight="15" x14ac:dyDescent="0.25"/>
  <cols>
    <col min="1" max="1" width="13.85546875" customWidth="1"/>
    <col min="2" max="2" width="10.28515625" customWidth="1"/>
    <col min="3" max="3" width="10.5703125" customWidth="1"/>
    <col min="4" max="4" width="8.7109375" customWidth="1"/>
    <col min="5" max="5" width="9" customWidth="1"/>
    <col min="6" max="6" width="10.85546875" customWidth="1"/>
    <col min="7" max="7" width="11.5703125" customWidth="1"/>
    <col min="8" max="8" width="11.28515625" customWidth="1"/>
    <col min="10" max="10" width="9.7109375" customWidth="1"/>
    <col min="11" max="11" width="11.7109375" customWidth="1"/>
    <col min="12" max="12" width="11.5703125" customWidth="1"/>
    <col min="13" max="13" width="11.140625" customWidth="1"/>
    <col min="14" max="14" width="8.28515625" customWidth="1"/>
    <col min="15" max="15" width="10.140625" customWidth="1"/>
    <col min="16" max="16" width="7.7109375" customWidth="1"/>
    <col min="17" max="17" width="10.5703125" customWidth="1"/>
    <col min="18" max="18" width="8.85546875" customWidth="1"/>
    <col min="19" max="19" width="9" customWidth="1"/>
    <col min="20" max="20" width="10.85546875" customWidth="1"/>
  </cols>
  <sheetData>
    <row r="2" spans="1:21" ht="15.75" x14ac:dyDescent="0.25">
      <c r="B2" s="2" t="s">
        <v>50</v>
      </c>
    </row>
    <row r="3" spans="1:21" ht="15.75" x14ac:dyDescent="0.25">
      <c r="B3" s="16" t="s">
        <v>44</v>
      </c>
      <c r="C3" s="2"/>
      <c r="H3" s="28" t="s">
        <v>43</v>
      </c>
      <c r="I3" s="28"/>
    </row>
    <row r="4" spans="1:21" x14ac:dyDescent="0.25">
      <c r="B4" t="s">
        <v>0</v>
      </c>
    </row>
    <row r="5" spans="1:21" x14ac:dyDescent="0.25">
      <c r="B5" t="s">
        <v>1</v>
      </c>
      <c r="G5" s="1" t="s">
        <v>2</v>
      </c>
      <c r="T5" s="3"/>
    </row>
    <row r="6" spans="1:21" x14ac:dyDescent="0.25">
      <c r="A6" s="3"/>
      <c r="B6" s="3"/>
      <c r="C6" s="3"/>
      <c r="T6" s="6"/>
    </row>
    <row r="7" spans="1:21" ht="18.75" thickBot="1" x14ac:dyDescent="0.4">
      <c r="A7" s="3"/>
      <c r="B7" s="3"/>
      <c r="C7" s="3"/>
      <c r="F7" s="10" t="s">
        <v>41</v>
      </c>
      <c r="G7" s="17">
        <f>SUM(G9:G12)</f>
        <v>2</v>
      </c>
      <c r="I7" s="27" t="s">
        <v>45</v>
      </c>
      <c r="J7" s="38">
        <f>SUM(J9:J12)</f>
        <v>-50.016421040004786</v>
      </c>
      <c r="L7" s="41" t="s">
        <v>15</v>
      </c>
      <c r="M7" s="41"/>
      <c r="N7" s="41"/>
      <c r="O7" s="41"/>
      <c r="P7" s="3"/>
      <c r="Q7" s="3"/>
      <c r="R7" s="3"/>
      <c r="S7" s="3"/>
    </row>
    <row r="8" spans="1:21" ht="19.5" thickBot="1" x14ac:dyDescent="0.4">
      <c r="A8" s="10" t="s">
        <v>60</v>
      </c>
      <c r="B8" s="5">
        <v>8.3140000000000002E-3</v>
      </c>
      <c r="C8" s="26" t="s">
        <v>19</v>
      </c>
      <c r="D8" s="24" t="s">
        <v>14</v>
      </c>
      <c r="E8" s="20" t="s">
        <v>54</v>
      </c>
      <c r="F8" s="11" t="s">
        <v>3</v>
      </c>
      <c r="G8" s="20" t="s">
        <v>4</v>
      </c>
      <c r="H8" s="20" t="s">
        <v>51</v>
      </c>
      <c r="I8" s="11" t="s">
        <v>52</v>
      </c>
      <c r="J8" s="15" t="s">
        <v>58</v>
      </c>
      <c r="K8" s="3"/>
      <c r="L8" s="7" t="s">
        <v>33</v>
      </c>
      <c r="M8" s="7" t="s">
        <v>27</v>
      </c>
      <c r="N8" s="7" t="s">
        <v>28</v>
      </c>
      <c r="O8" s="7" t="s">
        <v>29</v>
      </c>
      <c r="P8" s="6"/>
      <c r="Q8" s="6"/>
      <c r="R8" s="3"/>
      <c r="S8" s="12"/>
    </row>
    <row r="9" spans="1:21" ht="18" x14ac:dyDescent="0.35">
      <c r="A9" s="10" t="s">
        <v>61</v>
      </c>
      <c r="B9" s="18">
        <v>1000</v>
      </c>
      <c r="C9" s="26" t="s">
        <v>35</v>
      </c>
      <c r="D9" s="3" t="s">
        <v>24</v>
      </c>
      <c r="E9" s="6">
        <f>Q29+P29+(1/Rg)*(O29/T+(-J29*LN(T)-K29*T/2-L29*T^2/6-M29*T^3/12)/1000)</f>
        <v>-47.916522496290263</v>
      </c>
      <c r="F9" s="22">
        <v>0</v>
      </c>
      <c r="G9" s="32">
        <f>F9+x</f>
        <v>0.2</v>
      </c>
      <c r="H9" s="32">
        <f>G9/ntot</f>
        <v>0.1</v>
      </c>
      <c r="I9" s="17">
        <f>LN(H9)</f>
        <v>-2.3025850929940455</v>
      </c>
      <c r="J9" s="6">
        <f>G9*(E9+I9+LN(P))</f>
        <v>-10.043821517856863</v>
      </c>
      <c r="K9" s="3"/>
      <c r="L9" s="3" t="s">
        <v>7</v>
      </c>
      <c r="M9" s="17">
        <f>G9+G10</f>
        <v>1</v>
      </c>
      <c r="N9" s="17">
        <f>F9+F10</f>
        <v>1</v>
      </c>
      <c r="O9" s="21">
        <f>M9-N9</f>
        <v>0</v>
      </c>
    </row>
    <row r="10" spans="1:21" ht="18" x14ac:dyDescent="0.35">
      <c r="A10" s="10" t="s">
        <v>64</v>
      </c>
      <c r="B10" s="3">
        <v>298</v>
      </c>
      <c r="C10" s="26" t="s">
        <v>36</v>
      </c>
      <c r="D10" s="3" t="s">
        <v>23</v>
      </c>
      <c r="E10" s="6">
        <f>Q30+P30+(1/Rg)*(O30/T+(-J30*LN(T)-K30*T/2-L30*T^2/6-M30*T^3/12)/1000)</f>
        <v>-24.425155983489617</v>
      </c>
      <c r="F10" s="23">
        <v>1</v>
      </c>
      <c r="G10" s="32">
        <f>F10-x</f>
        <v>0.8</v>
      </c>
      <c r="H10" s="32">
        <f>G10/ntot</f>
        <v>0.4</v>
      </c>
      <c r="I10" s="17">
        <f t="shared" ref="I10:I12" si="0">LN(H10)</f>
        <v>-0.916290731874155</v>
      </c>
      <c r="J10" s="6">
        <f>G10*(E10+I10+LN(P))</f>
        <v>-20.273157372291021</v>
      </c>
      <c r="K10" s="3"/>
      <c r="L10" s="3" t="s">
        <v>16</v>
      </c>
      <c r="M10" s="17">
        <f>2*G11+2*G12</f>
        <v>2</v>
      </c>
      <c r="N10" s="17">
        <f>2*F11+2*F12</f>
        <v>2</v>
      </c>
      <c r="O10" s="21">
        <f t="shared" ref="O10:O11" si="1">M10-N10</f>
        <v>0</v>
      </c>
      <c r="T10" s="4"/>
      <c r="U10" s="3"/>
    </row>
    <row r="11" spans="1:21" ht="18" x14ac:dyDescent="0.35">
      <c r="A11" s="10" t="s">
        <v>62</v>
      </c>
      <c r="B11" s="19">
        <v>1</v>
      </c>
      <c r="C11" s="26" t="s">
        <v>37</v>
      </c>
      <c r="D11" s="3" t="s">
        <v>25</v>
      </c>
      <c r="E11" s="6">
        <f>Q31+P31+(1/Rg)*(O31/T+(-J31*LN(T)-K31*T/2-L31*T^2/6-M31*T^3/12)/1000)</f>
        <v>-23.132365682198458</v>
      </c>
      <c r="F11" s="23">
        <v>1</v>
      </c>
      <c r="G11" s="32">
        <f>F11-x</f>
        <v>0.8</v>
      </c>
      <c r="H11" s="32">
        <f>G11/ntot</f>
        <v>0.4</v>
      </c>
      <c r="I11" s="17">
        <f t="shared" si="0"/>
        <v>-0.916290731874155</v>
      </c>
      <c r="J11" s="6">
        <f>G11*(E11+I11+LN(P))</f>
        <v>-19.238925131258092</v>
      </c>
      <c r="K11" s="3"/>
      <c r="L11" s="3" t="s">
        <v>17</v>
      </c>
      <c r="M11" s="17">
        <f>2*G9+G10+G11</f>
        <v>2</v>
      </c>
      <c r="N11" s="17">
        <f>2*F9+F10+F11</f>
        <v>2</v>
      </c>
      <c r="O11" s="21">
        <f t="shared" si="1"/>
        <v>0</v>
      </c>
      <c r="T11" s="3"/>
      <c r="U11" s="3"/>
    </row>
    <row r="12" spans="1:21" ht="18" x14ac:dyDescent="0.35">
      <c r="A12" s="10" t="s">
        <v>63</v>
      </c>
      <c r="B12" s="3">
        <v>0.2</v>
      </c>
      <c r="C12" s="26"/>
      <c r="D12" s="3" t="s">
        <v>26</v>
      </c>
      <c r="E12" s="6">
        <v>0</v>
      </c>
      <c r="F12" s="23">
        <v>0</v>
      </c>
      <c r="G12" s="32">
        <f>F12+x</f>
        <v>0.2</v>
      </c>
      <c r="H12" s="32">
        <f>G12/ntot</f>
        <v>0.1</v>
      </c>
      <c r="I12" s="17">
        <f t="shared" si="0"/>
        <v>-2.3025850929940455</v>
      </c>
      <c r="J12" s="6">
        <f>G12*(E12+I12+LN(P))</f>
        <v>-0.46051701859880911</v>
      </c>
      <c r="K12" s="3"/>
      <c r="L12" s="3"/>
      <c r="T12" s="3"/>
      <c r="U12" s="3"/>
    </row>
    <row r="13" spans="1:2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21" hidden="1" x14ac:dyDescent="0.25">
      <c r="A14" s="3"/>
      <c r="B14" s="3"/>
      <c r="C14" s="3"/>
      <c r="D14" s="3"/>
      <c r="E14" s="3"/>
      <c r="F14" s="3"/>
      <c r="G14" s="3"/>
      <c r="H14" s="3"/>
      <c r="I14" s="3"/>
      <c r="K14" s="3"/>
      <c r="L14" s="3"/>
    </row>
    <row r="15" spans="1:21" hidden="1" x14ac:dyDescent="0.25">
      <c r="A15" s="3"/>
      <c r="B15" s="3"/>
      <c r="C15" s="3"/>
      <c r="D15" s="3"/>
      <c r="E15" s="3"/>
      <c r="F15" s="3"/>
      <c r="G15" s="3"/>
      <c r="H15" s="3"/>
      <c r="I15" s="3"/>
      <c r="J15" s="4"/>
      <c r="K15" s="3"/>
      <c r="L15" s="3"/>
    </row>
    <row r="16" spans="1:21" hidden="1" x14ac:dyDescent="0.25">
      <c r="A16" s="3"/>
      <c r="B16" s="3"/>
      <c r="C16" s="3"/>
      <c r="D16" s="3"/>
      <c r="E16" s="3"/>
      <c r="F16" s="3"/>
      <c r="G16" s="3"/>
      <c r="H16" s="3"/>
      <c r="I16" s="3"/>
      <c r="J16" s="4"/>
      <c r="K16" s="3"/>
      <c r="L16" s="3"/>
    </row>
    <row r="17" spans="1:21" hidden="1" x14ac:dyDescent="0.25">
      <c r="A17" s="3"/>
      <c r="B17" s="3"/>
      <c r="C17" s="3"/>
      <c r="D17" s="3"/>
      <c r="E17" s="3"/>
      <c r="F17" s="3"/>
      <c r="G17" s="3"/>
      <c r="H17" s="3"/>
      <c r="I17" s="3"/>
      <c r="J17" s="4"/>
      <c r="K17" s="3"/>
      <c r="L17" s="3"/>
    </row>
    <row r="18" spans="1:21" hidden="1" x14ac:dyDescent="0.25">
      <c r="A18" s="3"/>
      <c r="B18" s="3"/>
      <c r="C18" s="3"/>
      <c r="D18" s="3"/>
      <c r="E18" s="3"/>
      <c r="F18" s="3"/>
      <c r="G18" s="3"/>
      <c r="H18" s="3"/>
      <c r="I18" s="3"/>
      <c r="J18" s="4"/>
    </row>
    <row r="19" spans="1:21" hidden="1" x14ac:dyDescent="0.25">
      <c r="A19" s="3"/>
      <c r="B19" s="3"/>
      <c r="C19" s="3"/>
      <c r="D19" s="3"/>
      <c r="E19" s="3"/>
      <c r="F19" s="3"/>
      <c r="G19" s="3"/>
      <c r="H19" s="3"/>
      <c r="I19" s="3"/>
      <c r="J19" s="4"/>
    </row>
    <row r="20" spans="1:21" hidden="1" x14ac:dyDescent="0.25">
      <c r="A20" s="3"/>
      <c r="B20" s="3"/>
      <c r="C20" s="3"/>
      <c r="D20" s="3"/>
      <c r="E20" s="3"/>
      <c r="F20" s="3"/>
      <c r="G20" s="3"/>
      <c r="H20" s="3"/>
      <c r="I20" s="3"/>
      <c r="J20" s="4"/>
    </row>
    <row r="21" spans="1:21" hidden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21" hidden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21" hidden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21" hidden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21" hidden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2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21" ht="18.75" thickBot="1" x14ac:dyDescent="0.4">
      <c r="A27" s="3"/>
      <c r="B27" s="3"/>
      <c r="C27" s="14" t="s">
        <v>38</v>
      </c>
      <c r="E27" s="41" t="s">
        <v>46</v>
      </c>
      <c r="F27" s="41"/>
      <c r="G27" s="41"/>
      <c r="H27" s="41"/>
      <c r="J27" s="41" t="s">
        <v>34</v>
      </c>
      <c r="K27" s="41"/>
      <c r="L27" s="41"/>
      <c r="M27" s="41"/>
      <c r="N27" s="14" t="s">
        <v>30</v>
      </c>
      <c r="O27" s="3"/>
      <c r="P27" s="3"/>
      <c r="Q27" s="14"/>
      <c r="R27" s="14"/>
      <c r="S27" s="14" t="s">
        <v>30</v>
      </c>
      <c r="T27" s="14" t="s">
        <v>42</v>
      </c>
      <c r="U27" s="14" t="s">
        <v>30</v>
      </c>
    </row>
    <row r="28" spans="1:21" ht="18.75" x14ac:dyDescent="0.35">
      <c r="A28" s="3"/>
      <c r="B28" s="3"/>
      <c r="C28" s="9" t="s">
        <v>40</v>
      </c>
      <c r="D28" s="25" t="s">
        <v>14</v>
      </c>
      <c r="E28" s="9" t="s">
        <v>5</v>
      </c>
      <c r="F28" s="9" t="s">
        <v>6</v>
      </c>
      <c r="G28" s="9" t="s">
        <v>7</v>
      </c>
      <c r="H28" s="9" t="s">
        <v>8</v>
      </c>
      <c r="I28" s="9" t="s">
        <v>22</v>
      </c>
      <c r="J28" s="39" t="s">
        <v>10</v>
      </c>
      <c r="K28" s="39" t="s">
        <v>13</v>
      </c>
      <c r="L28" s="39" t="s">
        <v>12</v>
      </c>
      <c r="M28" s="39" t="s">
        <v>11</v>
      </c>
      <c r="N28" s="9" t="s">
        <v>59</v>
      </c>
      <c r="O28" s="9" t="s">
        <v>18</v>
      </c>
      <c r="P28" s="9" t="s">
        <v>20</v>
      </c>
      <c r="Q28" s="9" t="s">
        <v>53</v>
      </c>
      <c r="R28" s="9" t="s">
        <v>54</v>
      </c>
      <c r="S28" s="13" t="s">
        <v>55</v>
      </c>
      <c r="T28" s="9" t="s">
        <v>56</v>
      </c>
      <c r="U28" s="9" t="s">
        <v>57</v>
      </c>
    </row>
    <row r="29" spans="1:21" ht="18" x14ac:dyDescent="0.35">
      <c r="A29" s="3"/>
      <c r="B29" s="3"/>
      <c r="C29" s="6">
        <f>E29+F29*T+G29*T^2+H29*T^3</f>
        <v>54.486999999999988</v>
      </c>
      <c r="D29" s="3" t="s">
        <v>24</v>
      </c>
      <c r="E29" s="3">
        <v>22.242999999999999</v>
      </c>
      <c r="F29" s="5">
        <v>5.9769999999999997E-2</v>
      </c>
      <c r="G29" s="5">
        <v>-3.4990000000000002E-5</v>
      </c>
      <c r="H29" s="5">
        <v>7.4639999999999999E-9</v>
      </c>
      <c r="I29" s="3" t="s">
        <v>21</v>
      </c>
      <c r="J29" s="3">
        <f>E29-E42-E44</f>
        <v>-11.647000000000002</v>
      </c>
      <c r="K29" s="5">
        <f>F29-F42-F44</f>
        <v>4.4579999999999995E-2</v>
      </c>
      <c r="L29" s="5">
        <f>G29-G42-G44</f>
        <v>-2.7840000000000001E-5</v>
      </c>
      <c r="M29" s="5">
        <f>H29-H42-H44</f>
        <v>6.1529999999999997E-9</v>
      </c>
      <c r="N29" s="3">
        <v>-393.51</v>
      </c>
      <c r="O29" s="12">
        <f>N29+(-J29*TR-K29*TR^2/2-L29*TR^3/3-M29*TR^4/4)/1000</f>
        <v>-391.78518389711741</v>
      </c>
      <c r="P29" s="12">
        <f>(1/Rg)*(-O29/TR+(J29*LN(TR)+K29*TR/2+L29*TR^2/6+M29*TR^3/12)/1000)</f>
        <v>150.90272708859288</v>
      </c>
      <c r="Q29" s="6">
        <f>-394.4/(Rg*TR)</f>
        <v>-159.18810835769858</v>
      </c>
      <c r="R29" s="6">
        <f>Q29+P29+(1/Rg)*(O29/T+(-J29*LN(T)-K29*T/2-L29*T^2/6-M29*T^3/12)/1000)</f>
        <v>-47.916522496290263</v>
      </c>
      <c r="S29" s="12">
        <f>O29+(J29*T+K29*T^2/2+L29*T^3/3+M29*T^4/4)/1000</f>
        <v>-388.8839338971174</v>
      </c>
      <c r="T29" s="6">
        <f>R29*Rg*T</f>
        <v>-398.37796803415728</v>
      </c>
      <c r="U29" s="3">
        <v>-394.4</v>
      </c>
    </row>
    <row r="30" spans="1:21" x14ac:dyDescent="0.25">
      <c r="A30" s="3"/>
      <c r="B30" s="3"/>
      <c r="C30" s="6">
        <f>E30+F30*T+G30*T^2+H30*T^3</f>
        <v>32.960999999999999</v>
      </c>
      <c r="D30" s="3" t="s">
        <v>23</v>
      </c>
      <c r="E30" s="3">
        <v>28.141999999999999</v>
      </c>
      <c r="F30" s="5">
        <v>1.67E-3</v>
      </c>
      <c r="G30" s="5">
        <v>5.3700000000000003E-6</v>
      </c>
      <c r="H30" s="5">
        <v>-2.2210000000000001E-9</v>
      </c>
      <c r="I30" s="3" t="s">
        <v>21</v>
      </c>
      <c r="J30" s="3">
        <f>E30-0.5*E42-E44</f>
        <v>6.9819999999999993</v>
      </c>
      <c r="K30" s="5">
        <f>F30-0.5*F42-F44</f>
        <v>-5.9249999999999997E-3</v>
      </c>
      <c r="L30" s="5">
        <f>G30-0.5*G42-G44</f>
        <v>8.9449999999999999E-6</v>
      </c>
      <c r="M30" s="5">
        <f>H30-0.5*H42-H44</f>
        <v>-2.8765000000000001E-9</v>
      </c>
      <c r="N30" s="3">
        <v>-110.53</v>
      </c>
      <c r="O30" s="12">
        <f>N30+(-J30*TR-K30*TR^2/2-L30*TR^3/3-M30*TR^4/4)/1000</f>
        <v>-112.42078863222876</v>
      </c>
      <c r="P30" s="12">
        <f>(1/Rg)*(-O30/TR+(J30*LN(TR)+K30*TR/2+L30*TR^2/6+M30*TR^3/12)/1000)</f>
        <v>50.068715264266025</v>
      </c>
      <c r="Q30" s="6">
        <f>-137.2/(Rg*TR)</f>
        <v>-55.376796315102041</v>
      </c>
      <c r="R30" s="6">
        <f>Q30+P30+(1/Rg)*(O30/T+(-J30*LN(T)-K30*T/2-L30*T^2/6-M30*T^3/12)/1000)</f>
        <v>-24.425155983489617</v>
      </c>
      <c r="S30" s="12">
        <f>O30+(J30*T+K30*T^2/2+L30*T^3/3+M30*T^4/4)/1000</f>
        <v>-106.13874696556209</v>
      </c>
      <c r="T30" s="6">
        <f>R30*Rg*T</f>
        <v>-203.07074684673267</v>
      </c>
      <c r="U30" s="3">
        <v>-137.19999999999999</v>
      </c>
    </row>
    <row r="31" spans="1:21" ht="18" x14ac:dyDescent="0.35">
      <c r="A31" s="3"/>
      <c r="B31" s="10"/>
      <c r="C31" s="6">
        <f>E31+F31*T+G31*T^2+H31*T^3</f>
        <v>41.125</v>
      </c>
      <c r="D31" s="3" t="s">
        <v>25</v>
      </c>
      <c r="E31" s="3">
        <v>32.218000000000004</v>
      </c>
      <c r="F31" s="5">
        <v>1.92E-3</v>
      </c>
      <c r="G31" s="5">
        <v>1.0550000000000001E-5</v>
      </c>
      <c r="H31" s="5">
        <v>-3.5629999999999998E-9</v>
      </c>
      <c r="I31" s="3" t="s">
        <v>21</v>
      </c>
      <c r="J31" s="3">
        <f>E31-0.5*E42-E45</f>
        <v>-9.5999999999999979</v>
      </c>
      <c r="K31" s="5">
        <f>F31-0.6*F42-F45</f>
        <v>-5.2740000000000009E-3</v>
      </c>
      <c r="L31" s="5">
        <f>G31-0.5*G42-G45</f>
        <v>1.0125000000000002E-5</v>
      </c>
      <c r="M31" s="5">
        <f>H31-0.5*H42-H45</f>
        <v>-3.3484999999999998E-9</v>
      </c>
      <c r="N31" s="3">
        <v>-241.83</v>
      </c>
      <c r="O31" s="12">
        <f>N31+(-J31*TR-K31*TR^2/2-L31*TR^3/3-M31*TR^4/4)/1000</f>
        <v>-238.81773678133302</v>
      </c>
      <c r="P31" s="12">
        <f>(1/Rg)*(-O31/TR+(J31*LN(TR)+K31*TR/2+L31*TR^2/6+M31*TR^3/12)/1000)</f>
        <v>89.736149881449535</v>
      </c>
      <c r="Q31" s="6">
        <f>-228.6/(Rg*TR)</f>
        <v>-92.26775246087702</v>
      </c>
      <c r="R31" s="6">
        <f>Q31+P31+(1/Rg)*(O31/T+(-J31*LN(T)-K31*T/2-L31*T^2/6-M31*T^3/12)/1000)</f>
        <v>-23.132365682198458</v>
      </c>
      <c r="S31" s="12">
        <f>O31+(J31*T+K31*T^2/2+L31*T^3/3+M31*T^4/4)/1000</f>
        <v>-248.51686178133303</v>
      </c>
      <c r="T31" s="6">
        <f>R31*Rg*T</f>
        <v>-192.32248828179797</v>
      </c>
      <c r="U31" s="3">
        <v>-228.6</v>
      </c>
    </row>
    <row r="32" spans="1:21" ht="18" x14ac:dyDescent="0.35">
      <c r="A32" s="3"/>
      <c r="B32" s="3"/>
      <c r="C32" s="6">
        <f>E32+F32*T+G32*T^2+H32*T^3</f>
        <v>30.297999999999998</v>
      </c>
      <c r="D32" s="3" t="s">
        <v>26</v>
      </c>
      <c r="E32" s="3">
        <v>29.088000000000001</v>
      </c>
      <c r="F32" s="5">
        <v>-1.92E-3</v>
      </c>
      <c r="G32" s="5">
        <v>3.9999999999999998E-6</v>
      </c>
      <c r="H32" s="5">
        <v>-8.6999999999999999E-10</v>
      </c>
      <c r="I32" s="3" t="s">
        <v>21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6">
        <f>N32+(-J32*TR-K32*TR^2/2-L32*TR^3/3-M32*TR^4/4)/1000</f>
        <v>0</v>
      </c>
      <c r="P32" s="6">
        <f>(1/Rg)*(-O32/TR+(J32*LN(TR)+K32*TR/2+L32*TR^2/6+M32*TR^3/12)/1000)</f>
        <v>0</v>
      </c>
      <c r="Q32" s="6">
        <v>0</v>
      </c>
      <c r="R32" s="6">
        <f>Q32+P32+(1/Rg)*(O32/T+(-J32*LN(T)-K32*T/2-L32*T^2/6-M32*T^3/12)/1000)</f>
        <v>0</v>
      </c>
      <c r="S32" s="6">
        <f>O32+(J32*T+K32*T^2/2+L32*T^3/3+M32*T^4/4)/1000</f>
        <v>0</v>
      </c>
      <c r="T32" s="6">
        <v>0</v>
      </c>
      <c r="U32" s="6">
        <v>0</v>
      </c>
    </row>
    <row r="33" spans="1:18" hidden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8" hidden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8" hidden="1" x14ac:dyDescent="0.25">
      <c r="D35" s="3"/>
      <c r="E35" s="3"/>
      <c r="F35" s="3"/>
      <c r="G35" s="3"/>
      <c r="H35" s="3"/>
      <c r="I35" s="3"/>
      <c r="J35" s="3"/>
      <c r="K35" s="3"/>
      <c r="L35" s="3"/>
    </row>
    <row r="36" spans="1:18" hidden="1" x14ac:dyDescent="0.25">
      <c r="D36" s="3"/>
      <c r="E36" s="3"/>
      <c r="F36" s="3"/>
      <c r="G36" s="3"/>
      <c r="H36" s="3"/>
      <c r="I36" s="3"/>
      <c r="J36" s="3"/>
      <c r="K36" s="3"/>
      <c r="L36" s="3"/>
    </row>
    <row r="37" spans="1:18" hidden="1" x14ac:dyDescent="0.25">
      <c r="D37" s="3"/>
      <c r="E37" s="3"/>
      <c r="F37" s="3"/>
      <c r="G37" s="3"/>
      <c r="H37" s="3"/>
      <c r="I37" s="3"/>
      <c r="J37" s="3"/>
      <c r="K37" s="3"/>
      <c r="L37" s="3"/>
    </row>
    <row r="38" spans="1:18" hidden="1" x14ac:dyDescent="0.25">
      <c r="D38" s="3"/>
      <c r="E38" s="3"/>
      <c r="F38" s="3"/>
      <c r="G38" s="3"/>
      <c r="H38" s="3"/>
      <c r="I38" s="3"/>
      <c r="J38" s="3"/>
      <c r="K38" s="3"/>
      <c r="L38" s="3"/>
    </row>
    <row r="39" spans="1:18" x14ac:dyDescent="0.25">
      <c r="D39" s="3"/>
      <c r="E39" s="3"/>
      <c r="F39" s="3"/>
      <c r="G39" s="3"/>
      <c r="H39" s="3"/>
      <c r="I39" s="3"/>
      <c r="J39" s="3"/>
      <c r="K39" s="3"/>
      <c r="L39" s="3"/>
    </row>
    <row r="40" spans="1:18" ht="15.75" thickBot="1" x14ac:dyDescent="0.3">
      <c r="C40" s="14" t="s">
        <v>38</v>
      </c>
      <c r="D40" s="3"/>
      <c r="E40" s="41" t="s">
        <v>47</v>
      </c>
      <c r="F40" s="41"/>
      <c r="G40" s="41"/>
      <c r="H40" s="41"/>
    </row>
    <row r="41" spans="1:18" ht="18" x14ac:dyDescent="0.35">
      <c r="C41" s="9" t="s">
        <v>40</v>
      </c>
      <c r="D41" s="29" t="s">
        <v>9</v>
      </c>
      <c r="E41" s="9" t="s">
        <v>5</v>
      </c>
      <c r="F41" s="9" t="s">
        <v>6</v>
      </c>
      <c r="G41" s="9" t="s">
        <v>7</v>
      </c>
      <c r="H41" s="9" t="s">
        <v>8</v>
      </c>
      <c r="I41" s="8" t="s">
        <v>22</v>
      </c>
      <c r="K41" s="33"/>
    </row>
    <row r="42" spans="1:18" ht="18" x14ac:dyDescent="0.35">
      <c r="C42" s="6">
        <f>E42+F42*T+G42*T^2+H42*T^3</f>
        <v>34.811</v>
      </c>
      <c r="D42" s="3" t="s">
        <v>31</v>
      </c>
      <c r="E42" s="3">
        <v>25.46</v>
      </c>
      <c r="F42" s="5">
        <v>1.519E-2</v>
      </c>
      <c r="G42" s="5">
        <v>-7.1500000000000002E-6</v>
      </c>
      <c r="H42" s="5">
        <v>1.3109999999999999E-9</v>
      </c>
      <c r="I42" s="3" t="s">
        <v>21</v>
      </c>
    </row>
    <row r="43" spans="1:18" ht="18" x14ac:dyDescent="0.35">
      <c r="C43" s="6">
        <f>E43+F43*T+G43*T^2+H43*T^3</f>
        <v>32.521999999999998</v>
      </c>
      <c r="D43" s="3" t="s">
        <v>32</v>
      </c>
      <c r="E43" s="3">
        <v>28.882999999999999</v>
      </c>
      <c r="F43" s="5">
        <v>-1.57E-3</v>
      </c>
      <c r="G43" s="5">
        <v>8.0800000000000006E-6</v>
      </c>
      <c r="H43" s="5">
        <v>-2.8710000000000001E-9</v>
      </c>
      <c r="I43" s="3" t="s">
        <v>21</v>
      </c>
      <c r="N43" s="16"/>
    </row>
    <row r="44" spans="1:18" ht="15.75" x14ac:dyDescent="0.25">
      <c r="C44" s="6">
        <f>E44+F44*T+G44*T^2+H44*T^3</f>
        <v>8.43</v>
      </c>
      <c r="D44" s="3" t="s">
        <v>7</v>
      </c>
      <c r="E44" s="3">
        <v>8.43</v>
      </c>
      <c r="F44" s="5">
        <v>0</v>
      </c>
      <c r="G44" s="5">
        <v>0</v>
      </c>
      <c r="H44" s="5">
        <v>0</v>
      </c>
      <c r="I44" s="5" t="s">
        <v>39</v>
      </c>
      <c r="J44" s="5"/>
      <c r="L44" s="42" t="s">
        <v>48</v>
      </c>
      <c r="M44" s="43"/>
      <c r="N44" s="43"/>
      <c r="O44" s="43"/>
      <c r="P44" s="43"/>
      <c r="Q44" s="43"/>
      <c r="R44" s="44"/>
    </row>
    <row r="45" spans="1:18" ht="18.75" thickBot="1" x14ac:dyDescent="0.4">
      <c r="C45" s="30">
        <f>E45+F45*T+G45*T^2+H45*T^3</f>
        <v>30.297999999999998</v>
      </c>
      <c r="D45" s="9" t="s">
        <v>26</v>
      </c>
      <c r="E45" s="9">
        <v>29.088000000000001</v>
      </c>
      <c r="F45" s="31">
        <v>-1.92E-3</v>
      </c>
      <c r="G45" s="31">
        <v>3.9999999999999998E-6</v>
      </c>
      <c r="H45" s="31">
        <v>-8.6999999999999999E-10</v>
      </c>
      <c r="I45" s="9" t="s">
        <v>21</v>
      </c>
      <c r="K45" s="6">
        <f>J7</f>
        <v>-50.016421040004786</v>
      </c>
      <c r="L45" s="34">
        <v>500</v>
      </c>
      <c r="M45" s="34">
        <v>600</v>
      </c>
      <c r="N45" s="34">
        <v>700</v>
      </c>
      <c r="O45" s="34">
        <v>800</v>
      </c>
      <c r="P45" s="34">
        <v>900</v>
      </c>
      <c r="Q45" s="34">
        <v>1000</v>
      </c>
      <c r="R45" s="34">
        <v>1100</v>
      </c>
    </row>
    <row r="46" spans="1:18" x14ac:dyDescent="0.25">
      <c r="D46" s="3"/>
      <c r="E46" s="3"/>
      <c r="F46" s="3"/>
      <c r="G46" s="3"/>
      <c r="H46" s="3"/>
      <c r="J46" s="36"/>
      <c r="K46" s="35">
        <v>0.05</v>
      </c>
      <c r="L46" s="6">
        <f t="dataTable" ref="L46:R68" dt2D="1" dtr="1" r1="B9" r2="B12"/>
        <v>-92.155785618790858</v>
      </c>
      <c r="M46" s="6">
        <v>-77.906168995414887</v>
      </c>
      <c r="N46" s="6">
        <v>-67.718347728350679</v>
      </c>
      <c r="O46" s="6">
        <v>-60.071679518466937</v>
      </c>
      <c r="P46" s="6">
        <v>-54.120963818759165</v>
      </c>
      <c r="Q46" s="6">
        <v>-49.358796555029812</v>
      </c>
      <c r="R46" s="6">
        <v>-45.462067208493366</v>
      </c>
    </row>
    <row r="47" spans="1:18" x14ac:dyDescent="0.25">
      <c r="J47" s="37"/>
      <c r="K47" s="35">
        <v>0.1</v>
      </c>
      <c r="L47" s="6">
        <v>-92.654327951521267</v>
      </c>
      <c r="M47" s="6">
        <v>-78.325694402893859</v>
      </c>
      <c r="N47" s="6">
        <v>-68.08289222635706</v>
      </c>
      <c r="O47" s="6">
        <v>-60.396197517957496</v>
      </c>
      <c r="P47" s="6">
        <v>-54.41534425185241</v>
      </c>
      <c r="Q47" s="6">
        <v>-49.629882056651091</v>
      </c>
      <c r="R47" s="6">
        <v>-45.714761508673725</v>
      </c>
    </row>
    <row r="48" spans="1:18" x14ac:dyDescent="0.25">
      <c r="C48" s="16"/>
      <c r="J48" s="37"/>
      <c r="K48" s="35">
        <v>0.15</v>
      </c>
      <c r="L48" s="6">
        <v>-93.094987052989623</v>
      </c>
      <c r="M48" s="6">
        <v>-78.687336579110763</v>
      </c>
      <c r="N48" s="6">
        <v>-68.389553493101374</v>
      </c>
      <c r="O48" s="6">
        <v>-60.662832286185974</v>
      </c>
      <c r="P48" s="6">
        <v>-54.651841453683559</v>
      </c>
      <c r="Q48" s="6">
        <v>-49.843084327010274</v>
      </c>
      <c r="R48" s="6">
        <v>-45.909572577592002</v>
      </c>
    </row>
    <row r="49" spans="2:18" x14ac:dyDescent="0.25">
      <c r="J49" s="37"/>
      <c r="K49" s="35">
        <v>0.2</v>
      </c>
      <c r="L49" s="6">
        <v>-93.495780597093301</v>
      </c>
      <c r="M49" s="6">
        <v>-79.009113197962989</v>
      </c>
      <c r="N49" s="6">
        <v>-68.65634920248101</v>
      </c>
      <c r="O49" s="6">
        <v>-60.889601497049767</v>
      </c>
      <c r="P49" s="6">
        <v>-54.848473098150031</v>
      </c>
      <c r="Q49" s="6">
        <v>-50.016421040004786</v>
      </c>
      <c r="R49" s="6">
        <v>-46.064518089145608</v>
      </c>
    </row>
    <row r="50" spans="2:18" x14ac:dyDescent="0.25">
      <c r="J50" s="37"/>
      <c r="K50" s="35">
        <v>0.25</v>
      </c>
      <c r="L50" s="6">
        <v>-93.865052911893812</v>
      </c>
      <c r="M50" s="6">
        <v>-79.299368587512049</v>
      </c>
      <c r="N50" s="6">
        <v>-68.89162368255748</v>
      </c>
      <c r="O50" s="6">
        <v>-61.084849478610401</v>
      </c>
      <c r="P50" s="6">
        <v>-55.01358351331335</v>
      </c>
      <c r="Q50" s="6">
        <v>-50.158236523696132</v>
      </c>
      <c r="R50" s="6">
        <v>-46.187942371396041</v>
      </c>
    </row>
    <row r="51" spans="2:18" x14ac:dyDescent="0.25">
      <c r="J51" s="37"/>
      <c r="K51" s="35">
        <v>0.3</v>
      </c>
      <c r="L51" s="6">
        <v>-94.207518099405249</v>
      </c>
      <c r="M51" s="6">
        <v>-79.562816849772034</v>
      </c>
      <c r="N51" s="6">
        <v>-69.100091035344875</v>
      </c>
      <c r="O51" s="6">
        <v>-61.253290332881953</v>
      </c>
      <c r="P51" s="6">
        <v>-55.151886801187594</v>
      </c>
      <c r="Q51" s="6">
        <v>-50.27324488009841</v>
      </c>
      <c r="R51" s="6">
        <v>-46.284559526357405</v>
      </c>
    </row>
    <row r="52" spans="2:18" x14ac:dyDescent="0.25">
      <c r="J52" s="37"/>
      <c r="K52" s="35">
        <v>0.35</v>
      </c>
      <c r="L52" s="6">
        <v>-94.52608964600401</v>
      </c>
      <c r="M52" s="6">
        <v>-79.802371471119343</v>
      </c>
      <c r="N52" s="6">
        <v>-69.284664747219594</v>
      </c>
      <c r="O52" s="6">
        <v>-61.397837546240844</v>
      </c>
      <c r="P52" s="6">
        <v>-55.266296448149149</v>
      </c>
      <c r="Q52" s="6">
        <v>-50.364359595587992</v>
      </c>
      <c r="R52" s="6">
        <v>-46.357283040406088</v>
      </c>
    </row>
    <row r="53" spans="2:18" ht="15" customHeight="1" x14ac:dyDescent="0.25">
      <c r="J53" s="40" t="s">
        <v>49</v>
      </c>
      <c r="K53" s="35">
        <v>0.4</v>
      </c>
      <c r="L53" s="6">
        <v>-94.822626574592533</v>
      </c>
      <c r="M53" s="6">
        <v>-80.019891474456415</v>
      </c>
      <c r="N53" s="6">
        <v>-69.447203841084075</v>
      </c>
      <c r="O53" s="6">
        <v>-61.520350141589482</v>
      </c>
      <c r="P53" s="6">
        <v>-55.358671477100465</v>
      </c>
      <c r="Q53" s="6">
        <v>-50.433439693067349</v>
      </c>
      <c r="R53" s="6">
        <v>-46.407971936444532</v>
      </c>
    </row>
    <row r="54" spans="2:18" x14ac:dyDescent="0.25">
      <c r="J54" s="40"/>
      <c r="K54" s="35">
        <v>0.45</v>
      </c>
      <c r="L54" s="6">
        <v>-95.098287740640458</v>
      </c>
      <c r="M54" s="6">
        <v>-80.216535715252888</v>
      </c>
      <c r="N54" s="6">
        <v>-69.588867172407959</v>
      </c>
      <c r="O54" s="6">
        <v>-61.621986974397537</v>
      </c>
      <c r="P54" s="6">
        <v>-55.430170743511205</v>
      </c>
      <c r="Q54" s="6">
        <v>-50.48164402800613</v>
      </c>
      <c r="R54" s="6">
        <v>-46.437785069942393</v>
      </c>
    </row>
    <row r="55" spans="2:18" x14ac:dyDescent="0.25">
      <c r="J55" s="40"/>
      <c r="K55" s="35">
        <v>0.5</v>
      </c>
      <c r="L55" s="6">
        <v>-95.353711346972446</v>
      </c>
      <c r="M55" s="6">
        <v>-80.39294239633341</v>
      </c>
      <c r="N55" s="6">
        <v>-69.710292944015919</v>
      </c>
      <c r="O55" s="6">
        <v>-61.703386247489647</v>
      </c>
      <c r="P55" s="6">
        <v>-55.481432450205993</v>
      </c>
      <c r="Q55" s="6">
        <v>-50.509610803228952</v>
      </c>
      <c r="R55" s="6">
        <v>-46.447360643724309</v>
      </c>
    </row>
    <row r="56" spans="2:18" x14ac:dyDescent="0.25">
      <c r="J56" s="40"/>
      <c r="K56" s="35">
        <v>0.55000000000000004</v>
      </c>
      <c r="L56" s="6">
        <v>-95.589101485918988</v>
      </c>
      <c r="M56" s="6">
        <v>-80.549315610028515</v>
      </c>
      <c r="N56" s="6">
        <v>-69.811685248238419</v>
      </c>
      <c r="O56" s="6">
        <v>-61.764752053196332</v>
      </c>
      <c r="P56" s="6">
        <v>-55.512660689515357</v>
      </c>
      <c r="Q56" s="6">
        <v>-50.51754411106635</v>
      </c>
      <c r="R56" s="6">
        <v>-46.436902750120794</v>
      </c>
    </row>
    <row r="57" spans="2:18" x14ac:dyDescent="0.25">
      <c r="J57" s="40"/>
      <c r="K57" s="35">
        <v>0.6</v>
      </c>
      <c r="L57" s="6">
        <v>-95.804254065149607</v>
      </c>
      <c r="M57" s="6">
        <v>-80.685451264007696</v>
      </c>
      <c r="N57" s="6">
        <v>-69.892839992744996</v>
      </c>
      <c r="O57" s="6">
        <v>-61.805880299187066</v>
      </c>
      <c r="P57" s="6">
        <v>-55.523651369108769</v>
      </c>
      <c r="Q57" s="6">
        <v>-50.505239859187789</v>
      </c>
      <c r="R57" s="6">
        <v>-46.406207296801327</v>
      </c>
    </row>
    <row r="58" spans="2:18" x14ac:dyDescent="0.25">
      <c r="J58" s="40"/>
      <c r="K58" s="35">
        <v>0.65</v>
      </c>
      <c r="L58" s="6">
        <v>-95.998530881839613</v>
      </c>
      <c r="M58" s="6">
        <v>-80.800711155446251</v>
      </c>
      <c r="N58" s="6">
        <v>-69.953118974710975</v>
      </c>
      <c r="O58" s="6">
        <v>-61.82613278263721</v>
      </c>
      <c r="P58" s="6">
        <v>-55.513766286161591</v>
      </c>
      <c r="Q58" s="6">
        <v>-50.472059844768658</v>
      </c>
      <c r="R58" s="6">
        <v>-46.354636080941276</v>
      </c>
    </row>
    <row r="59" spans="2:18" x14ac:dyDescent="0.25">
      <c r="J59" s="40"/>
      <c r="K59" s="35">
        <v>0.7</v>
      </c>
      <c r="L59" s="6">
        <v>-96.17077308051941</v>
      </c>
      <c r="M59" s="6">
        <v>-80.893936428874596</v>
      </c>
      <c r="N59" s="6">
        <v>-69.991363338666716</v>
      </c>
      <c r="O59" s="6">
        <v>-61.824350648077122</v>
      </c>
      <c r="P59" s="6">
        <v>-55.481846585204195</v>
      </c>
      <c r="Q59" s="6">
        <v>-50.416845212339275</v>
      </c>
      <c r="R59" s="6">
        <v>-46.281030247070987</v>
      </c>
    </row>
    <row r="60" spans="2:18" x14ac:dyDescent="0.25">
      <c r="J60" s="40"/>
      <c r="K60" s="35">
        <v>0.75</v>
      </c>
      <c r="L60" s="6">
        <v>-96.319121638286504</v>
      </c>
      <c r="M60" s="6">
        <v>-80.963268061390252</v>
      </c>
      <c r="N60" s="6">
        <v>-70.005714061709796</v>
      </c>
      <c r="O60" s="6">
        <v>-61.798674872604352</v>
      </c>
      <c r="P60" s="6">
        <v>-55.426033243334096</v>
      </c>
      <c r="Q60" s="6">
        <v>-50.337736938997217</v>
      </c>
      <c r="R60" s="6">
        <v>-46.18353077228803</v>
      </c>
    </row>
    <row r="61" spans="2:18" x14ac:dyDescent="0.25">
      <c r="J61" s="40"/>
      <c r="K61" s="35">
        <v>0.8</v>
      </c>
      <c r="L61" s="6">
        <v>-96.44066306876455</v>
      </c>
      <c r="M61" s="6">
        <v>-81.005792566616833</v>
      </c>
      <c r="N61" s="6">
        <v>-69.993257657463801</v>
      </c>
      <c r="O61" s="6">
        <v>-61.746191969842499</v>
      </c>
      <c r="P61" s="6">
        <v>-55.343412774174929</v>
      </c>
      <c r="Q61" s="6">
        <v>-50.231821538366091</v>
      </c>
      <c r="R61" s="6">
        <v>-46.059224170215984</v>
      </c>
    </row>
    <row r="62" spans="2:18" x14ac:dyDescent="0.25">
      <c r="B62" s="3"/>
      <c r="J62" s="37"/>
      <c r="K62" s="35">
        <v>0.85</v>
      </c>
      <c r="L62" s="6">
        <v>-96.530683269939416</v>
      </c>
      <c r="M62" s="6">
        <v>-81.016795842540247</v>
      </c>
      <c r="N62" s="6">
        <v>-69.949280023914625</v>
      </c>
      <c r="O62" s="6">
        <v>-61.662187837777509</v>
      </c>
      <c r="P62" s="6">
        <v>-55.22927107571261</v>
      </c>
      <c r="Q62" s="6">
        <v>-50.094384908431806</v>
      </c>
      <c r="R62" s="6">
        <v>-45.903396338840786</v>
      </c>
    </row>
    <row r="63" spans="2:18" x14ac:dyDescent="0.25">
      <c r="B63" s="3"/>
      <c r="J63" s="37"/>
      <c r="K63" s="35">
        <v>0.9</v>
      </c>
      <c r="L63" s="6">
        <v>-96.580837913749605</v>
      </c>
      <c r="M63" s="6">
        <v>-80.987933561098984</v>
      </c>
      <c r="N63" s="6">
        <v>-69.865436833000771</v>
      </c>
      <c r="O63" s="6">
        <v>-61.53831814834782</v>
      </c>
      <c r="P63" s="6">
        <v>-55.075263819885606</v>
      </c>
      <c r="Q63" s="6">
        <v>-49.917082721132829</v>
      </c>
      <c r="R63" s="6">
        <v>-45.707702950100895</v>
      </c>
    </row>
    <row r="64" spans="2:18" x14ac:dyDescent="0.25">
      <c r="B64" s="3"/>
      <c r="J64" s="37"/>
      <c r="K64" s="35">
        <v>0.92</v>
      </c>
      <c r="L64" s="6">
        <v>-96.586373459559596</v>
      </c>
      <c r="M64" s="6">
        <v>-80.961862336808395</v>
      </c>
      <c r="N64" s="6">
        <v>-69.817373244921143</v>
      </c>
      <c r="O64" s="6">
        <v>-61.474243960861855</v>
      </c>
      <c r="P64" s="6">
        <v>-54.999134605840716</v>
      </c>
      <c r="Q64" s="6">
        <v>-49.831635534499156</v>
      </c>
      <c r="R64" s="6">
        <v>-45.614899282890867</v>
      </c>
    </row>
    <row r="65" spans="2:18" x14ac:dyDescent="0.25">
      <c r="B65" s="3"/>
      <c r="J65" s="37"/>
      <c r="K65" s="35">
        <v>0.94</v>
      </c>
      <c r="L65" s="6">
        <v>-96.580932510079336</v>
      </c>
      <c r="M65" s="6">
        <v>-80.924814617227554</v>
      </c>
      <c r="N65" s="6">
        <v>-69.758333161551263</v>
      </c>
      <c r="O65" s="6">
        <v>-61.399193278085647</v>
      </c>
      <c r="P65" s="6">
        <v>-54.912028896505575</v>
      </c>
      <c r="Q65" s="6">
        <v>-49.735211852575233</v>
      </c>
      <c r="R65" s="6">
        <v>-45.511119120390575</v>
      </c>
    </row>
    <row r="66" spans="2:18" x14ac:dyDescent="0.25">
      <c r="B66" s="3"/>
      <c r="C66" s="3"/>
      <c r="J66" s="37"/>
      <c r="K66" s="35">
        <v>0.97</v>
      </c>
      <c r="L66" s="6">
        <v>-96.543725925021235</v>
      </c>
      <c r="M66" s="6">
        <v>-80.840197877018582</v>
      </c>
      <c r="N66" s="6">
        <v>-69.640727875658754</v>
      </c>
      <c r="O66" s="6">
        <v>-61.257572093083603</v>
      </c>
      <c r="P66" s="6">
        <v>-54.752325171665134</v>
      </c>
      <c r="Q66" s="6">
        <v>-49.561531168851616</v>
      </c>
      <c r="R66" s="6">
        <v>-45.326403715802407</v>
      </c>
    </row>
    <row r="67" spans="2:18" x14ac:dyDescent="0.25">
      <c r="J67" s="37"/>
      <c r="K67" s="35">
        <v>0.99</v>
      </c>
      <c r="L67" s="6">
        <v>-96.484407406427096</v>
      </c>
      <c r="M67" s="6">
        <v>-80.749272588323862</v>
      </c>
      <c r="N67" s="6">
        <v>-69.527810223174995</v>
      </c>
      <c r="O67" s="6">
        <v>-61.128643841193529</v>
      </c>
      <c r="P67" s="6">
        <v>-54.611341893216142</v>
      </c>
      <c r="Q67" s="6">
        <v>-49.411229917813827</v>
      </c>
      <c r="R67" s="6">
        <v>-45.168745984188256</v>
      </c>
    </row>
    <row r="68" spans="2:18" x14ac:dyDescent="0.25">
      <c r="J68" s="37"/>
      <c r="K68" s="35">
        <v>0.995</v>
      </c>
      <c r="L68" s="6">
        <v>-96.459903156875669</v>
      </c>
      <c r="M68" s="6">
        <v>-80.716866646247283</v>
      </c>
      <c r="N68" s="6">
        <v>-69.48990619015116</v>
      </c>
      <c r="O68" s="6">
        <v>-61.086737158318101</v>
      </c>
      <c r="P68" s="6">
        <v>-54.566421453700976</v>
      </c>
      <c r="Q68" s="6">
        <v>-49.363979985151474</v>
      </c>
      <c r="R68" s="6">
        <v>-45.119656931381812</v>
      </c>
    </row>
  </sheetData>
  <mergeCells count="6">
    <mergeCell ref="J53:J61"/>
    <mergeCell ref="L7:O7"/>
    <mergeCell ref="E27:H27"/>
    <mergeCell ref="J27:M27"/>
    <mergeCell ref="E40:H40"/>
    <mergeCell ref="L44:R44"/>
  </mergeCells>
  <hyperlinks>
    <hyperlink ref="G5" r:id="rId1"/>
  </hyperlinks>
  <pageMargins left="0.7" right="0.7" top="0.75" bottom="0.75" header="0.3" footer="0.3"/>
  <pageSetup orientation="portrait" horizontalDpi="0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Sheet1</vt:lpstr>
      <vt:lpstr>ntot</vt:lpstr>
      <vt:lpstr>P</vt:lpstr>
      <vt:lpstr>Rg</vt:lpstr>
      <vt:lpstr>T</vt:lpstr>
      <vt:lpstr>TR</vt:lpstr>
      <vt:lpstr>x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L Falconer</cp:lastModifiedBy>
  <dcterms:created xsi:type="dcterms:W3CDTF">2020-11-13T16:15:03Z</dcterms:created>
  <dcterms:modified xsi:type="dcterms:W3CDTF">2020-11-24T14:20:22Z</dcterms:modified>
</cp:coreProperties>
</file>