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lconer\Dropbox\@@Active\NLR spreadsheets\"/>
    </mc:Choice>
  </mc:AlternateContent>
  <bookViews>
    <workbookView xWindow="2200" yWindow="260" windowWidth="26550" windowHeight="14840"/>
  </bookViews>
  <sheets>
    <sheet name="NLR of VLE data" sheetId="1" r:id="rId1"/>
  </sheets>
  <definedNames>
    <definedName name="A12x">'NLR of VLE data'!$N$7</definedName>
    <definedName name="A21x">'NLR of VLE data'!$O$7</definedName>
    <definedName name="df">'NLR of VLE data'!$H$12</definedName>
    <definedName name="N">'NLR of VLE data'!$H$10</definedName>
    <definedName name="P">'NLR of VLE data'!$C$16</definedName>
    <definedName name="Pm">'NLR of VLE data'!$H$11</definedName>
    <definedName name="solver_adj" localSheetId="0" hidden="1">'NLR of VLE data'!$O$7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'NLR of VLE data'!#REF!</definedName>
    <definedName name="solver_lhs2" localSheetId="0" hidden="1">'NLR of VLE data'!#REF!</definedName>
    <definedName name="solver_lhs3" localSheetId="0" hidden="1">'NLR of VLE data'!#REF!</definedName>
    <definedName name="solver_lhs4" localSheetId="0" hidden="1">'NLR of VLE data'!#REF!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'NLR of VLE data'!$T$42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hs1" localSheetId="0" hidden="1">0</definedName>
    <definedName name="solver_rhs2" localSheetId="0" hidden="1">0</definedName>
    <definedName name="solver_rhs3" localSheetId="0" hidden="1">0</definedName>
    <definedName name="solver_rhs4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SS">'NLR of VLE data'!$T$42</definedName>
    <definedName name="SSmean">'NLR of VLE data'!$V$44</definedName>
    <definedName name="yAavg">'NLR of VLE data'!$N$43</definedName>
    <definedName name="yBavg">'NLR of VLE data'!$R$43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4" i="1" l="1"/>
  <c r="N22" i="1" l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21" i="1"/>
  <c r="H12" i="1" l="1"/>
  <c r="N43" i="1" l="1"/>
  <c r="V25" i="1" s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21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H6" i="1"/>
  <c r="G6" i="1"/>
  <c r="R43" i="1" l="1"/>
  <c r="W40" i="1" s="1"/>
  <c r="W37" i="1"/>
  <c r="W39" i="1"/>
  <c r="W23" i="1"/>
  <c r="W38" i="1"/>
  <c r="W30" i="1"/>
  <c r="W22" i="1"/>
  <c r="V40" i="1"/>
  <c r="V36" i="1"/>
  <c r="V32" i="1"/>
  <c r="V28" i="1"/>
  <c r="V24" i="1"/>
  <c r="V39" i="1"/>
  <c r="V35" i="1"/>
  <c r="V31" i="1"/>
  <c r="V27" i="1"/>
  <c r="V23" i="1"/>
  <c r="V38" i="1"/>
  <c r="V34" i="1"/>
  <c r="V30" i="1"/>
  <c r="V26" i="1"/>
  <c r="V22" i="1"/>
  <c r="V21" i="1"/>
  <c r="V43" i="1" s="1"/>
  <c r="G33" i="1"/>
  <c r="H33" i="1" s="1"/>
  <c r="V37" i="1"/>
  <c r="V33" i="1"/>
  <c r="V29" i="1"/>
  <c r="G21" i="1"/>
  <c r="G22" i="1"/>
  <c r="G27" i="1"/>
  <c r="G29" i="1"/>
  <c r="G32" i="1"/>
  <c r="G38" i="1"/>
  <c r="G34" i="1"/>
  <c r="G37" i="1"/>
  <c r="G40" i="1"/>
  <c r="G39" i="1"/>
  <c r="G28" i="1"/>
  <c r="G26" i="1"/>
  <c r="G23" i="1"/>
  <c r="G25" i="1"/>
  <c r="G36" i="1"/>
  <c r="G31" i="1"/>
  <c r="G24" i="1"/>
  <c r="G30" i="1"/>
  <c r="G35" i="1"/>
  <c r="P33" i="1" l="1"/>
  <c r="O33" i="1" s="1"/>
  <c r="T33" i="1" s="1"/>
  <c r="W33" i="1"/>
  <c r="W36" i="1"/>
  <c r="W25" i="1"/>
  <c r="W21" i="1"/>
  <c r="W35" i="1"/>
  <c r="W32" i="1"/>
  <c r="W31" i="1"/>
  <c r="W29" i="1"/>
  <c r="W26" i="1"/>
  <c r="W34" i="1"/>
  <c r="W28" i="1"/>
  <c r="W24" i="1"/>
  <c r="W27" i="1"/>
  <c r="H21" i="1"/>
  <c r="Q33" i="1"/>
  <c r="S33" i="1" s="1"/>
  <c r="U33" i="1" s="1"/>
  <c r="H28" i="1"/>
  <c r="H34" i="1"/>
  <c r="H39" i="1"/>
  <c r="H38" i="1"/>
  <c r="H37" i="1"/>
  <c r="H32" i="1"/>
  <c r="H25" i="1"/>
  <c r="H29" i="1"/>
  <c r="H27" i="1"/>
  <c r="H23" i="1"/>
  <c r="H22" i="1"/>
  <c r="H40" i="1"/>
  <c r="H26" i="1"/>
  <c r="H36" i="1"/>
  <c r="H31" i="1"/>
  <c r="H24" i="1"/>
  <c r="H30" i="1"/>
  <c r="H35" i="1"/>
  <c r="P38" i="1" l="1"/>
  <c r="O38" i="1" s="1"/>
  <c r="T38" i="1" s="1"/>
  <c r="P21" i="1"/>
  <c r="O21" i="1" s="1"/>
  <c r="T21" i="1" s="1"/>
  <c r="P22" i="1"/>
  <c r="O22" i="1" s="1"/>
  <c r="T22" i="1" s="1"/>
  <c r="P39" i="1"/>
  <c r="O39" i="1" s="1"/>
  <c r="T39" i="1" s="1"/>
  <c r="P30" i="1"/>
  <c r="O30" i="1" s="1"/>
  <c r="T30" i="1" s="1"/>
  <c r="P35" i="1"/>
  <c r="O35" i="1" s="1"/>
  <c r="T35" i="1" s="1"/>
  <c r="P34" i="1"/>
  <c r="O34" i="1" s="1"/>
  <c r="T34" i="1" s="1"/>
  <c r="Q38" i="1"/>
  <c r="S38" i="1" s="1"/>
  <c r="U38" i="1" s="1"/>
  <c r="P40" i="1"/>
  <c r="O40" i="1" s="1"/>
  <c r="T40" i="1" s="1"/>
  <c r="P28" i="1"/>
  <c r="O28" i="1" s="1"/>
  <c r="T28" i="1" s="1"/>
  <c r="P24" i="1"/>
  <c r="O24" i="1" s="1"/>
  <c r="T24" i="1" s="1"/>
  <c r="P29" i="1"/>
  <c r="O29" i="1" s="1"/>
  <c r="T29" i="1" s="1"/>
  <c r="P31" i="1"/>
  <c r="O31" i="1" s="1"/>
  <c r="T31" i="1" s="1"/>
  <c r="P25" i="1"/>
  <c r="O25" i="1" s="1"/>
  <c r="T25" i="1" s="1"/>
  <c r="Q29" i="1"/>
  <c r="S29" i="1" s="1"/>
  <c r="U29" i="1" s="1"/>
  <c r="P23" i="1"/>
  <c r="O23" i="1" s="1"/>
  <c r="T23" i="1" s="1"/>
  <c r="P27" i="1"/>
  <c r="O27" i="1" s="1"/>
  <c r="T27" i="1" s="1"/>
  <c r="P36" i="1"/>
  <c r="O36" i="1" s="1"/>
  <c r="T36" i="1" s="1"/>
  <c r="P32" i="1"/>
  <c r="O32" i="1" s="1"/>
  <c r="T32" i="1" s="1"/>
  <c r="P26" i="1"/>
  <c r="O26" i="1" s="1"/>
  <c r="T26" i="1" s="1"/>
  <c r="P37" i="1"/>
  <c r="O37" i="1" s="1"/>
  <c r="T37" i="1" s="1"/>
  <c r="Q25" i="1"/>
  <c r="S25" i="1" s="1"/>
  <c r="U25" i="1" s="1"/>
  <c r="W43" i="1"/>
  <c r="Q36" i="1"/>
  <c r="S36" i="1" s="1"/>
  <c r="U36" i="1" s="1"/>
  <c r="Q32" i="1"/>
  <c r="S32" i="1" s="1"/>
  <c r="U32" i="1" s="1"/>
  <c r="Q30" i="1"/>
  <c r="S30" i="1" s="1"/>
  <c r="U30" i="1" s="1"/>
  <c r="Q21" i="1"/>
  <c r="S21" i="1" s="1"/>
  <c r="U21" i="1" s="1"/>
  <c r="Q24" i="1"/>
  <c r="Q34" i="1"/>
  <c r="S34" i="1" s="1"/>
  <c r="U34" i="1" s="1"/>
  <c r="K33" i="1"/>
  <c r="Q40" i="1"/>
  <c r="S40" i="1" s="1"/>
  <c r="U40" i="1" s="1"/>
  <c r="Q27" i="1"/>
  <c r="S27" i="1" s="1"/>
  <c r="U27" i="1" s="1"/>
  <c r="Q28" i="1"/>
  <c r="S28" i="1" s="1"/>
  <c r="U28" i="1" s="1"/>
  <c r="Q26" i="1"/>
  <c r="S26" i="1" s="1"/>
  <c r="U26" i="1" s="1"/>
  <c r="Q22" i="1"/>
  <c r="S22" i="1" s="1"/>
  <c r="U22" i="1" s="1"/>
  <c r="Q35" i="1"/>
  <c r="S35" i="1" s="1"/>
  <c r="U35" i="1" s="1"/>
  <c r="Q23" i="1"/>
  <c r="S23" i="1" s="1"/>
  <c r="U23" i="1" s="1"/>
  <c r="Q37" i="1"/>
  <c r="S37" i="1" s="1"/>
  <c r="U37" i="1" s="1"/>
  <c r="Q39" i="1"/>
  <c r="Q31" i="1"/>
  <c r="S31" i="1" s="1"/>
  <c r="U31" i="1" s="1"/>
  <c r="K25" i="1" l="1"/>
  <c r="K29" i="1"/>
  <c r="K38" i="1"/>
  <c r="T42" i="1"/>
  <c r="V45" i="1" s="1"/>
  <c r="K32" i="1"/>
  <c r="K40" i="1"/>
  <c r="K23" i="1"/>
  <c r="K35" i="1"/>
  <c r="K34" i="1"/>
  <c r="K31" i="1"/>
  <c r="K28" i="1"/>
  <c r="K36" i="1"/>
  <c r="K30" i="1"/>
  <c r="K21" i="1"/>
  <c r="S39" i="1"/>
  <c r="U39" i="1" s="1"/>
  <c r="K39" i="1"/>
  <c r="K37" i="1"/>
  <c r="K27" i="1"/>
  <c r="K22" i="1"/>
  <c r="K26" i="1"/>
  <c r="S24" i="1"/>
  <c r="U24" i="1" s="1"/>
  <c r="K24" i="1"/>
  <c r="R9" i="1" l="1"/>
  <c r="P7" i="1"/>
  <c r="U42" i="1"/>
  <c r="T44" i="1" l="1"/>
</calcChain>
</file>

<file path=xl/sharedStrings.xml><?xml version="1.0" encoding="utf-8"?>
<sst xmlns="http://schemas.openxmlformats.org/spreadsheetml/2006/main" count="78" uniqueCount="68">
  <si>
    <t>A</t>
  </si>
  <si>
    <t>B</t>
  </si>
  <si>
    <t>C</t>
  </si>
  <si>
    <t>Measurements:</t>
  </si>
  <si>
    <t>molar density B (mol/mL)</t>
  </si>
  <si>
    <t>molar density A (mol/mL)</t>
  </si>
  <si>
    <t>density A (g/mL)</t>
  </si>
  <si>
    <t>density B (g/mL)</t>
  </si>
  <si>
    <t>A12</t>
  </si>
  <si>
    <t>A21</t>
  </si>
  <si>
    <t>Calculated Margules parameters:</t>
  </si>
  <si>
    <t>x-y Line</t>
  </si>
  <si>
    <t>x values</t>
  </si>
  <si>
    <t>y values</t>
  </si>
  <si>
    <t>Antoine constants  A:</t>
  </si>
  <si>
    <t>Antoine constants  B:</t>
  </si>
  <si>
    <t>Calculated parameters from experiments:</t>
  </si>
  <si>
    <t>Department of Chemical and Biological Engineering, University of Colorad Boulder,</t>
  </si>
  <si>
    <t>https://learncheme.com/</t>
  </si>
  <si>
    <t>Pressure (mm Hg):</t>
  </si>
  <si>
    <r>
      <t>y</t>
    </r>
    <r>
      <rPr>
        <vertAlign val="subscript"/>
        <sz val="14"/>
        <color theme="1"/>
        <rFont val="Calibri"/>
        <family val="2"/>
        <scheme val="minor"/>
      </rPr>
      <t>Aexp</t>
    </r>
  </si>
  <si>
    <r>
      <t>y</t>
    </r>
    <r>
      <rPr>
        <vertAlign val="subscript"/>
        <sz val="14"/>
        <color theme="1"/>
        <rFont val="Calibri"/>
        <family val="2"/>
        <scheme val="minor"/>
      </rPr>
      <t>Acalc</t>
    </r>
  </si>
  <si>
    <r>
      <rPr>
        <sz val="14"/>
        <color theme="1"/>
        <rFont val="Symbol"/>
        <family val="1"/>
        <charset val="2"/>
      </rPr>
      <t>g</t>
    </r>
    <r>
      <rPr>
        <vertAlign val="subscript"/>
        <sz val="14"/>
        <color theme="1"/>
        <rFont val="Calibri"/>
        <family val="2"/>
        <scheme val="minor"/>
      </rPr>
      <t>Acalc</t>
    </r>
  </si>
  <si>
    <r>
      <rPr>
        <sz val="14"/>
        <color theme="1"/>
        <rFont val="Symbol"/>
        <family val="1"/>
        <charset val="2"/>
      </rPr>
      <t>g</t>
    </r>
    <r>
      <rPr>
        <vertAlign val="subscript"/>
        <sz val="14"/>
        <color theme="1"/>
        <rFont val="Calibri"/>
        <family val="2"/>
        <scheme val="minor"/>
      </rPr>
      <t>Bcalc</t>
    </r>
  </si>
  <si>
    <r>
      <t>y</t>
    </r>
    <r>
      <rPr>
        <vertAlign val="subscript"/>
        <sz val="14"/>
        <color theme="1"/>
        <rFont val="Calibri"/>
        <family val="2"/>
        <scheme val="minor"/>
      </rPr>
      <t>Bexp</t>
    </r>
  </si>
  <si>
    <r>
      <t>y</t>
    </r>
    <r>
      <rPr>
        <vertAlign val="subscript"/>
        <sz val="14"/>
        <color theme="1"/>
        <rFont val="Calibri"/>
        <family val="2"/>
        <scheme val="minor"/>
      </rPr>
      <t>Bcalc</t>
    </r>
  </si>
  <si>
    <t>SS=</t>
  </si>
  <si>
    <r>
      <rPr>
        <sz val="14"/>
        <color theme="1"/>
        <rFont val="Calibri"/>
        <family val="2"/>
        <scheme val="minor"/>
      </rPr>
      <t>T</t>
    </r>
    <r>
      <rPr>
        <vertAlign val="subscript"/>
        <sz val="14"/>
        <color theme="1"/>
        <rFont val="Calibri"/>
        <family val="2"/>
        <scheme val="minor"/>
      </rPr>
      <t>exp</t>
    </r>
    <r>
      <rPr>
        <sz val="14"/>
        <color theme="1"/>
        <rFont val="Calibri"/>
        <family val="2"/>
        <scheme val="minor"/>
      </rPr>
      <t xml:space="preserve"> (deg. C)</t>
    </r>
  </si>
  <si>
    <r>
      <t>x</t>
    </r>
    <r>
      <rPr>
        <vertAlign val="subscript"/>
        <sz val="14"/>
        <color theme="1"/>
        <rFont val="Calibri"/>
        <family val="2"/>
        <scheme val="minor"/>
      </rPr>
      <t>A</t>
    </r>
  </si>
  <si>
    <r>
      <t>x</t>
    </r>
    <r>
      <rPr>
        <vertAlign val="subscript"/>
        <sz val="14"/>
        <color theme="1"/>
        <rFont val="Calibri"/>
        <family val="2"/>
        <scheme val="minor"/>
      </rPr>
      <t>B</t>
    </r>
  </si>
  <si>
    <r>
      <t>P</t>
    </r>
    <r>
      <rPr>
        <vertAlign val="subscript"/>
        <sz val="14"/>
        <color theme="1"/>
        <rFont val="Calibri"/>
        <family val="2"/>
        <scheme val="minor"/>
      </rPr>
      <t>A</t>
    </r>
    <r>
      <rPr>
        <vertAlign val="superscript"/>
        <sz val="14"/>
        <color theme="1"/>
        <rFont val="Calibri"/>
        <family val="2"/>
        <scheme val="minor"/>
      </rPr>
      <t>sat</t>
    </r>
    <r>
      <rPr>
        <sz val="14"/>
        <color theme="1"/>
        <rFont val="Calibri"/>
        <family val="2"/>
        <scheme val="minor"/>
      </rPr>
      <t xml:space="preserve"> (mm Hg)</t>
    </r>
  </si>
  <si>
    <r>
      <t>P</t>
    </r>
    <r>
      <rPr>
        <vertAlign val="subscript"/>
        <sz val="14"/>
        <color theme="1"/>
        <rFont val="Calibri"/>
        <family val="2"/>
        <scheme val="minor"/>
      </rPr>
      <t>B</t>
    </r>
    <r>
      <rPr>
        <vertAlign val="superscript"/>
        <sz val="14"/>
        <color theme="1"/>
        <rFont val="Calibri"/>
        <family val="2"/>
        <scheme val="minor"/>
      </rPr>
      <t xml:space="preserve">sat </t>
    </r>
    <r>
      <rPr>
        <sz val="14"/>
        <color theme="1"/>
        <rFont val="Calibri"/>
        <family val="2"/>
        <scheme val="minor"/>
      </rPr>
      <t>(mm Hg)</t>
    </r>
  </si>
  <si>
    <r>
      <t>MW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(g/mol)</t>
    </r>
  </si>
  <si>
    <r>
      <t>MW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(g/mol)</t>
    </r>
  </si>
  <si>
    <r>
      <t>V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(mL)</t>
    </r>
  </si>
  <si>
    <r>
      <t>V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(mL)</t>
    </r>
  </si>
  <si>
    <t>Non-linear regression to determine Margules parameters for vapor-liquid equilibrium</t>
  </si>
  <si>
    <r>
      <t>y</t>
    </r>
    <r>
      <rPr>
        <vertAlign val="subscript"/>
        <sz val="14"/>
        <color theme="1"/>
        <rFont val="Calibri"/>
        <family val="2"/>
        <scheme val="minor"/>
      </rPr>
      <t>Aexp</t>
    </r>
    <r>
      <rPr>
        <sz val="14"/>
        <color theme="1"/>
        <rFont val="Calibri"/>
        <family val="2"/>
        <scheme val="minor"/>
      </rPr>
      <t>-y</t>
    </r>
    <r>
      <rPr>
        <vertAlign val="subscript"/>
        <sz val="14"/>
        <color theme="1"/>
        <rFont val="Calibri"/>
        <family val="2"/>
        <scheme val="minor"/>
      </rPr>
      <t>Amean</t>
    </r>
  </si>
  <si>
    <r>
      <t>y</t>
    </r>
    <r>
      <rPr>
        <vertAlign val="subscript"/>
        <sz val="14"/>
        <color theme="1"/>
        <rFont val="Calibri"/>
        <family val="2"/>
        <scheme val="minor"/>
      </rPr>
      <t>Bexp</t>
    </r>
    <r>
      <rPr>
        <sz val="14"/>
        <color theme="1"/>
        <rFont val="Calibri"/>
        <family val="2"/>
        <scheme val="minor"/>
      </rPr>
      <t>-y</t>
    </r>
    <r>
      <rPr>
        <vertAlign val="subscript"/>
        <sz val="14"/>
        <color theme="1"/>
        <rFont val="Calibri"/>
        <family val="2"/>
        <scheme val="minor"/>
      </rPr>
      <t>Bmean</t>
    </r>
  </si>
  <si>
    <t>value</t>
  </si>
  <si>
    <t>Margules parameters used to generate the data</t>
  </si>
  <si>
    <t>N =</t>
  </si>
  <si>
    <t xml:space="preserve">df = </t>
  </si>
  <si>
    <t>number of data points</t>
  </si>
  <si>
    <t>number of parameters</t>
  </si>
  <si>
    <t>SS</t>
  </si>
  <si>
    <r>
      <t>Pick A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value, use </t>
    </r>
  </si>
  <si>
    <r>
      <t>Solver to find new A</t>
    </r>
    <r>
      <rPr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 xml:space="preserve"> and SS</t>
    </r>
  </si>
  <si>
    <r>
      <t>A</t>
    </r>
    <r>
      <rPr>
        <vertAlign val="subscript"/>
        <sz val="11"/>
        <color theme="1"/>
        <rFont val="Calibri"/>
        <family val="2"/>
        <scheme val="minor"/>
      </rPr>
      <t>12</t>
    </r>
  </si>
  <si>
    <r>
      <t>A</t>
    </r>
    <r>
      <rPr>
        <vertAlign val="subscript"/>
        <sz val="11"/>
        <color theme="1"/>
        <rFont val="Calibri"/>
        <family val="2"/>
        <scheme val="minor"/>
      </rPr>
      <t>21</t>
    </r>
  </si>
  <si>
    <r>
      <t>Pick A</t>
    </r>
    <r>
      <rPr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 xml:space="preserve"> value, use </t>
    </r>
  </si>
  <si>
    <r>
      <t>Solver to find new A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and SS</t>
    </r>
  </si>
  <si>
    <r>
      <t>(y</t>
    </r>
    <r>
      <rPr>
        <vertAlign val="subscript"/>
        <sz val="14"/>
        <color theme="1"/>
        <rFont val="Calibri"/>
        <family val="2"/>
        <scheme val="minor"/>
      </rPr>
      <t>Acalc</t>
    </r>
    <r>
      <rPr>
        <sz val="14"/>
        <color theme="1"/>
        <rFont val="Calibri"/>
        <family val="2"/>
        <scheme val="minor"/>
      </rPr>
      <t>-y</t>
    </r>
    <r>
      <rPr>
        <vertAlign val="subscript"/>
        <sz val="14"/>
        <color theme="1"/>
        <rFont val="Calibri"/>
        <family val="2"/>
        <scheme val="minor"/>
      </rPr>
      <t>Aexp</t>
    </r>
    <r>
      <rPr>
        <sz val="14"/>
        <color theme="1"/>
        <rFont val="Calibri"/>
        <family val="2"/>
        <scheme val="minor"/>
      </rPr>
      <t>)</t>
    </r>
  </si>
  <si>
    <r>
      <t>(y</t>
    </r>
    <r>
      <rPr>
        <vertAlign val="subscript"/>
        <sz val="14"/>
        <color theme="1"/>
        <rFont val="Calibri"/>
        <family val="2"/>
        <scheme val="minor"/>
      </rPr>
      <t>Bcalc</t>
    </r>
    <r>
      <rPr>
        <sz val="14"/>
        <color theme="1"/>
        <rFont val="Calibri"/>
        <family val="2"/>
        <scheme val="minor"/>
      </rPr>
      <t>-y</t>
    </r>
    <r>
      <rPr>
        <vertAlign val="subscript"/>
        <sz val="14"/>
        <color theme="1"/>
        <rFont val="Calibri"/>
        <family val="2"/>
        <scheme val="minor"/>
      </rPr>
      <t>Bexp</t>
    </r>
    <r>
      <rPr>
        <sz val="14"/>
        <color theme="1"/>
        <rFont val="Calibri"/>
        <family val="2"/>
        <scheme val="minor"/>
      </rPr>
      <t>)</t>
    </r>
  </si>
  <si>
    <t>variances</t>
  </si>
  <si>
    <t>=SS*(1+Pm/df*F.INV.RT(0.05,Pm,df))</t>
  </si>
  <si>
    <t>0.51 - 0.81</t>
  </si>
  <si>
    <t>0.19 - 0.41</t>
  </si>
  <si>
    <t>Determine 95% confidence limits</t>
  </si>
  <si>
    <t>Horizontal line in confidence limits plots</t>
  </si>
  <si>
    <t>P (mm Hg)</t>
  </si>
  <si>
    <r>
      <t>SS</t>
    </r>
    <r>
      <rPr>
        <vertAlign val="subscript"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 xml:space="preserve"> =</t>
    </r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</si>
  <si>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</si>
  <si>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degrees of freedom = N-P</t>
    </r>
    <r>
      <rPr>
        <vertAlign val="subscript"/>
        <sz val="11"/>
        <color theme="1"/>
        <rFont val="Calibri"/>
        <family val="2"/>
        <scheme val="minor"/>
      </rPr>
      <t>m</t>
    </r>
  </si>
  <si>
    <r>
      <t>P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 </t>
    </r>
  </si>
  <si>
    <r>
      <t>y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Mean =</t>
    </r>
  </si>
  <si>
    <r>
      <t>y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Mean =</t>
    </r>
  </si>
  <si>
    <t>Confidence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</si>
</sst>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0.0"/>
    <numFmt numFmtId="166" formatCode="0.00000"/>
    <numFmt numFmtId="167" formatCode="0.000E+00"/>
    <numFmt numFmtId="168" formatCode="0.0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theme="1"/>
      <name val="Calibri"/>
      <family val="1"/>
      <charset val="2"/>
      <scheme val="minor"/>
    </font>
    <font>
      <sz val="14"/>
      <color theme="1"/>
      <name val="Symbol"/>
      <family val="1"/>
      <charset val="2"/>
    </font>
    <font>
      <vertAlign val="superscript"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33" borderId="24" xfId="0" applyFill="1" applyBorder="1" applyAlignment="1">
      <alignment horizontal="center"/>
    </xf>
    <xf numFmtId="0" fontId="0" fillId="33" borderId="25" xfId="0" applyFill="1" applyBorder="1" applyAlignment="1">
      <alignment horizontal="center"/>
    </xf>
    <xf numFmtId="0" fontId="0" fillId="33" borderId="26" xfId="0" applyFill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Border="1"/>
    <xf numFmtId="2" fontId="0" fillId="0" borderId="0" xfId="0" applyNumberFormat="1" applyAlignment="1">
      <alignment horizontal="center"/>
    </xf>
    <xf numFmtId="0" fontId="0" fillId="33" borderId="13" xfId="0" applyFill="1" applyBorder="1" applyAlignment="1">
      <alignment horizontal="left"/>
    </xf>
    <xf numFmtId="0" fontId="0" fillId="33" borderId="11" xfId="0" applyFill="1" applyBorder="1" applyAlignment="1">
      <alignment horizontal="right"/>
    </xf>
    <xf numFmtId="0" fontId="0" fillId="0" borderId="0" xfId="0" quotePrefix="1"/>
    <xf numFmtId="0" fontId="0" fillId="33" borderId="0" xfId="0" applyFill="1"/>
    <xf numFmtId="0" fontId="19" fillId="33" borderId="25" xfId="0" applyFont="1" applyFill="1" applyBorder="1" applyAlignment="1">
      <alignment horizontal="center"/>
    </xf>
    <xf numFmtId="0" fontId="21" fillId="33" borderId="25" xfId="0" applyFont="1" applyFill="1" applyBorder="1" applyAlignment="1">
      <alignment horizontal="center"/>
    </xf>
    <xf numFmtId="0" fontId="19" fillId="33" borderId="26" xfId="0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" fontId="0" fillId="0" borderId="22" xfId="0" applyNumberFormat="1" applyBorder="1" applyAlignment="1">
      <alignment horizontal="center"/>
    </xf>
    <xf numFmtId="0" fontId="19" fillId="33" borderId="24" xfId="0" applyFon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2" fontId="0" fillId="0" borderId="0" xfId="0" applyNumberFormat="1"/>
    <xf numFmtId="0" fontId="24" fillId="0" borderId="0" xfId="0" applyFont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left"/>
    </xf>
    <xf numFmtId="0" fontId="19" fillId="33" borderId="31" xfId="0" applyFont="1" applyFill="1" applyBorder="1" applyAlignment="1">
      <alignment horizontal="left"/>
    </xf>
    <xf numFmtId="0" fontId="19" fillId="33" borderId="19" xfId="0" applyFont="1" applyFill="1" applyBorder="1" applyAlignment="1">
      <alignment horizontal="center"/>
    </xf>
    <xf numFmtId="0" fontId="19" fillId="33" borderId="3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3" borderId="0" xfId="0" applyFill="1" applyAlignment="1">
      <alignment horizontal="right"/>
    </xf>
    <xf numFmtId="168" fontId="0" fillId="0" borderId="0" xfId="0" applyNumberFormat="1" applyAlignment="1">
      <alignment horizontal="center"/>
    </xf>
    <xf numFmtId="164" fontId="0" fillId="0" borderId="0" xfId="0" applyNumberFormat="1"/>
    <xf numFmtId="0" fontId="16" fillId="0" borderId="0" xfId="0" applyFont="1"/>
    <xf numFmtId="164" fontId="0" fillId="0" borderId="20" xfId="0" applyNumberFormat="1" applyBorder="1" applyAlignment="1">
      <alignment horizontal="center"/>
    </xf>
    <xf numFmtId="11" fontId="0" fillId="34" borderId="20" xfId="0" applyNumberFormat="1" applyFill="1" applyBorder="1" applyAlignment="1">
      <alignment horizontal="center"/>
    </xf>
    <xf numFmtId="0" fontId="0" fillId="0" borderId="29" xfId="0" applyFill="1" applyBorder="1" applyAlignment="1"/>
    <xf numFmtId="0" fontId="0" fillId="0" borderId="0" xfId="0" quotePrefix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33" borderId="25" xfId="0" applyFill="1" applyBorder="1" applyAlignment="1"/>
    <xf numFmtId="11" fontId="0" fillId="34" borderId="19" xfId="0" applyNumberFormat="1" applyFill="1" applyBorder="1"/>
    <xf numFmtId="0" fontId="0" fillId="0" borderId="36" xfId="0" applyBorder="1" applyAlignment="1">
      <alignment horizontal="right"/>
    </xf>
    <xf numFmtId="164" fontId="0" fillId="0" borderId="37" xfId="0" applyNumberFormat="1" applyBorder="1" applyAlignment="1">
      <alignment horizontal="center"/>
    </xf>
    <xf numFmtId="0" fontId="0" fillId="0" borderId="35" xfId="0" applyBorder="1" applyAlignment="1">
      <alignment horizontal="right"/>
    </xf>
    <xf numFmtId="164" fontId="0" fillId="0" borderId="38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29" xfId="0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29" xfId="0" applyFont="1" applyBorder="1"/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35" borderId="0" xfId="0" applyFill="1" applyAlignment="1">
      <alignment horizontal="center"/>
    </xf>
    <xf numFmtId="2" fontId="0" fillId="35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'NLR of VLE data'!$G$21:$G$40</c:f>
              <c:numCache>
                <c:formatCode>0.000</c:formatCode>
                <c:ptCount val="20"/>
                <c:pt idx="0">
                  <c:v>5.4837542965832882E-2</c:v>
                </c:pt>
                <c:pt idx="1">
                  <c:v>0.13067849473255605</c:v>
                </c:pt>
                <c:pt idx="2">
                  <c:v>0.20545330564709899</c:v>
                </c:pt>
                <c:pt idx="3">
                  <c:v>0.24771171053310714</c:v>
                </c:pt>
                <c:pt idx="4">
                  <c:v>0.27918429985091825</c:v>
                </c:pt>
                <c:pt idx="5">
                  <c:v>0.3518931825391966</c:v>
                </c:pt>
                <c:pt idx="6">
                  <c:v>0.42360106126386876</c:v>
                </c:pt>
                <c:pt idx="7">
                  <c:v>0.42360106126386876</c:v>
                </c:pt>
                <c:pt idx="8">
                  <c:v>0.43376453349009075</c:v>
                </c:pt>
                <c:pt idx="9">
                  <c:v>0.49432846636280747</c:v>
                </c:pt>
                <c:pt idx="10">
                  <c:v>0.5243450352051352</c:v>
                </c:pt>
                <c:pt idx="11">
                  <c:v>0.56409537055670489</c:v>
                </c:pt>
                <c:pt idx="12">
                  <c:v>0.62314583928800216</c:v>
                </c:pt>
                <c:pt idx="13">
                  <c:v>0.63292120775294314</c:v>
                </c:pt>
                <c:pt idx="14">
                  <c:v>0.70082489109364088</c:v>
                </c:pt>
                <c:pt idx="15">
                  <c:v>0.76782483028308424</c:v>
                </c:pt>
                <c:pt idx="16">
                  <c:v>0.80571166418167217</c:v>
                </c:pt>
                <c:pt idx="17">
                  <c:v>0.83393894822788883</c:v>
                </c:pt>
                <c:pt idx="18">
                  <c:v>0.89918469702148596</c:v>
                </c:pt>
                <c:pt idx="19">
                  <c:v>0.96357907330287784</c:v>
                </c:pt>
              </c:numCache>
            </c:numRef>
          </c:xVal>
          <c:yVal>
            <c:numRef>
              <c:f>'NLR of VLE data'!$N$21:$N$40</c:f>
              <c:numCache>
                <c:formatCode>0.000</c:formatCode>
                <c:ptCount val="20"/>
                <c:pt idx="0">
                  <c:v>0.30299999999999999</c:v>
                </c:pt>
                <c:pt idx="1">
                  <c:v>0.46200000000000002</c:v>
                </c:pt>
                <c:pt idx="2">
                  <c:v>0.629</c:v>
                </c:pt>
                <c:pt idx="3">
                  <c:v>0.627</c:v>
                </c:pt>
                <c:pt idx="4">
                  <c:v>0.70699999999999996</c:v>
                </c:pt>
                <c:pt idx="5">
                  <c:v>0.71199999999999997</c:v>
                </c:pt>
                <c:pt idx="6">
                  <c:v>0.75600000000000001</c:v>
                </c:pt>
                <c:pt idx="7">
                  <c:v>0.80600000000000005</c:v>
                </c:pt>
                <c:pt idx="8">
                  <c:v>0.76300000000000001</c:v>
                </c:pt>
                <c:pt idx="9">
                  <c:v>0.84399999999999997</c:v>
                </c:pt>
                <c:pt idx="10">
                  <c:v>0.85799999999999998</c:v>
                </c:pt>
                <c:pt idx="11">
                  <c:v>0.82599999999999996</c:v>
                </c:pt>
                <c:pt idx="12">
                  <c:v>0.90100000000000002</c:v>
                </c:pt>
                <c:pt idx="13">
                  <c:v>0.85399999999999998</c:v>
                </c:pt>
                <c:pt idx="14">
                  <c:v>0.88100000000000001</c:v>
                </c:pt>
                <c:pt idx="15">
                  <c:v>0.95399999999999996</c:v>
                </c:pt>
                <c:pt idx="16">
                  <c:v>0.91600000000000004</c:v>
                </c:pt>
                <c:pt idx="17">
                  <c:v>0.92600000000000005</c:v>
                </c:pt>
                <c:pt idx="18">
                  <c:v>0.94399999999999995</c:v>
                </c:pt>
                <c:pt idx="19">
                  <c:v>0.98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5D-4054-9310-2CA75C11D01E}"/>
            </c:ext>
          </c:extLst>
        </c:ser>
        <c:ser>
          <c:idx val="1"/>
          <c:order val="1"/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'NLR of VLE data'!$G$20:$G$41</c:f>
              <c:numCache>
                <c:formatCode>0.000</c:formatCode>
                <c:ptCount val="22"/>
                <c:pt idx="0" formatCode="General">
                  <c:v>0</c:v>
                </c:pt>
                <c:pt idx="1">
                  <c:v>5.4837542965832882E-2</c:v>
                </c:pt>
                <c:pt idx="2">
                  <c:v>0.13067849473255605</c:v>
                </c:pt>
                <c:pt idx="3">
                  <c:v>0.20545330564709899</c:v>
                </c:pt>
                <c:pt idx="4">
                  <c:v>0.24771171053310714</c:v>
                </c:pt>
                <c:pt idx="5">
                  <c:v>0.27918429985091825</c:v>
                </c:pt>
                <c:pt idx="6">
                  <c:v>0.3518931825391966</c:v>
                </c:pt>
                <c:pt idx="7">
                  <c:v>0.42360106126386876</c:v>
                </c:pt>
                <c:pt idx="8">
                  <c:v>0.42360106126386876</c:v>
                </c:pt>
                <c:pt idx="9">
                  <c:v>0.43376453349009075</c:v>
                </c:pt>
                <c:pt idx="10">
                  <c:v>0.49432846636280747</c:v>
                </c:pt>
                <c:pt idx="11">
                  <c:v>0.5243450352051352</c:v>
                </c:pt>
                <c:pt idx="12">
                  <c:v>0.56409537055670489</c:v>
                </c:pt>
                <c:pt idx="13">
                  <c:v>0.62314583928800216</c:v>
                </c:pt>
                <c:pt idx="14">
                  <c:v>0.63292120775294314</c:v>
                </c:pt>
                <c:pt idx="15">
                  <c:v>0.70082489109364088</c:v>
                </c:pt>
                <c:pt idx="16">
                  <c:v>0.76782483028308424</c:v>
                </c:pt>
                <c:pt idx="17">
                  <c:v>0.80571166418167217</c:v>
                </c:pt>
                <c:pt idx="18">
                  <c:v>0.83393894822788883</c:v>
                </c:pt>
                <c:pt idx="19">
                  <c:v>0.89918469702148596</c:v>
                </c:pt>
                <c:pt idx="20">
                  <c:v>0.96357907330287784</c:v>
                </c:pt>
                <c:pt idx="21">
                  <c:v>1</c:v>
                </c:pt>
              </c:numCache>
            </c:numRef>
          </c:xVal>
          <c:yVal>
            <c:numRef>
              <c:f>'NLR of VLE data'!$O$20:$O$41</c:f>
              <c:numCache>
                <c:formatCode>0.000</c:formatCode>
                <c:ptCount val="22"/>
                <c:pt idx="0" formatCode="General">
                  <c:v>0</c:v>
                </c:pt>
                <c:pt idx="1">
                  <c:v>0.32787786949510328</c:v>
                </c:pt>
                <c:pt idx="2">
                  <c:v>0.53796097016560118</c:v>
                </c:pt>
                <c:pt idx="3">
                  <c:v>0.6378052111584398</c:v>
                </c:pt>
                <c:pt idx="4">
                  <c:v>0.67425322335481463</c:v>
                </c:pt>
                <c:pt idx="5">
                  <c:v>0.69609104720082404</c:v>
                </c:pt>
                <c:pt idx="6">
                  <c:v>0.73662786245213341</c:v>
                </c:pt>
                <c:pt idx="7">
                  <c:v>0.77005473606265751</c:v>
                </c:pt>
                <c:pt idx="8">
                  <c:v>0.77005473606265751</c:v>
                </c:pt>
                <c:pt idx="9">
                  <c:v>0.77520133010849968</c:v>
                </c:pt>
                <c:pt idx="10">
                  <c:v>0.80186044390691391</c:v>
                </c:pt>
                <c:pt idx="11">
                  <c:v>0.81424063473175889</c:v>
                </c:pt>
                <c:pt idx="12">
                  <c:v>0.83210147700784665</c:v>
                </c:pt>
                <c:pt idx="13">
                  <c:v>0.85762909104271601</c:v>
                </c:pt>
                <c:pt idx="14">
                  <c:v>0.86138783097517679</c:v>
                </c:pt>
                <c:pt idx="15">
                  <c:v>0.89185409264127236</c:v>
                </c:pt>
                <c:pt idx="16">
                  <c:v>0.91976994749660657</c:v>
                </c:pt>
                <c:pt idx="17">
                  <c:v>0.93489274164552327</c:v>
                </c:pt>
                <c:pt idx="18">
                  <c:v>0.94717132492449929</c:v>
                </c:pt>
                <c:pt idx="19">
                  <c:v>0.97035572057490105</c:v>
                </c:pt>
                <c:pt idx="20">
                  <c:v>0.9907126480185583</c:v>
                </c:pt>
                <c:pt idx="2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5D-4054-9310-2CA75C11D01E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'NLR of VLE data'!$B$45:$B$46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'NLR of VLE data'!$C$45:$C$46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27-4470-AFB9-EB134313A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130224"/>
        <c:axId val="1317965392"/>
      </c:scatterChart>
      <c:valAx>
        <c:axId val="175713022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x</a:t>
                </a:r>
                <a:r>
                  <a:rPr lang="en-US" sz="1600" baseline="-25000"/>
                  <a:t>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965392"/>
        <c:crosses val="autoZero"/>
        <c:crossBetween val="midCat"/>
      </c:valAx>
      <c:valAx>
        <c:axId val="13179653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y</a:t>
                </a:r>
                <a:r>
                  <a:rPr lang="en-US" sz="1600" baseline="-25000"/>
                  <a:t>A</a:t>
                </a:r>
              </a:p>
            </c:rich>
          </c:tx>
          <c:layout>
            <c:manualLayout>
              <c:xMode val="edge"/>
              <c:yMode val="edge"/>
              <c:x val="3.8192667346190402E-2"/>
              <c:y val="0.431111335666388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130224"/>
        <c:crosses val="autoZero"/>
        <c:crossBetween val="midCat"/>
        <c:majorUnit val="0.2"/>
      </c:valAx>
      <c:spPr>
        <a:noFill/>
        <a:ln w="2222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'NLR of VLE data'!$G$21:$G$40</c:f>
              <c:numCache>
                <c:formatCode>0.000</c:formatCode>
                <c:ptCount val="20"/>
                <c:pt idx="0">
                  <c:v>5.4837542965832882E-2</c:v>
                </c:pt>
                <c:pt idx="1">
                  <c:v>0.13067849473255605</c:v>
                </c:pt>
                <c:pt idx="2">
                  <c:v>0.20545330564709899</c:v>
                </c:pt>
                <c:pt idx="3">
                  <c:v>0.24771171053310714</c:v>
                </c:pt>
                <c:pt idx="4">
                  <c:v>0.27918429985091825</c:v>
                </c:pt>
                <c:pt idx="5">
                  <c:v>0.3518931825391966</c:v>
                </c:pt>
                <c:pt idx="6">
                  <c:v>0.42360106126386876</c:v>
                </c:pt>
                <c:pt idx="7">
                  <c:v>0.42360106126386876</c:v>
                </c:pt>
                <c:pt idx="8">
                  <c:v>0.43376453349009075</c:v>
                </c:pt>
                <c:pt idx="9">
                  <c:v>0.49432846636280747</c:v>
                </c:pt>
                <c:pt idx="10">
                  <c:v>0.5243450352051352</c:v>
                </c:pt>
                <c:pt idx="11">
                  <c:v>0.56409537055670489</c:v>
                </c:pt>
                <c:pt idx="12">
                  <c:v>0.62314583928800216</c:v>
                </c:pt>
                <c:pt idx="13">
                  <c:v>0.63292120775294314</c:v>
                </c:pt>
                <c:pt idx="14">
                  <c:v>0.70082489109364088</c:v>
                </c:pt>
                <c:pt idx="15">
                  <c:v>0.76782483028308424</c:v>
                </c:pt>
                <c:pt idx="16">
                  <c:v>0.80571166418167217</c:v>
                </c:pt>
                <c:pt idx="17">
                  <c:v>0.83393894822788883</c:v>
                </c:pt>
                <c:pt idx="18">
                  <c:v>0.89918469702148596</c:v>
                </c:pt>
                <c:pt idx="19">
                  <c:v>0.96357907330287784</c:v>
                </c:pt>
              </c:numCache>
            </c:numRef>
          </c:xVal>
          <c:yVal>
            <c:numRef>
              <c:f>'NLR of VLE data'!$E$21:$E$40</c:f>
              <c:numCache>
                <c:formatCode>0.0</c:formatCode>
                <c:ptCount val="20"/>
                <c:pt idx="0">
                  <c:v>92.32</c:v>
                </c:pt>
                <c:pt idx="1">
                  <c:v>85.17</c:v>
                </c:pt>
                <c:pt idx="2">
                  <c:v>80.290000000000006</c:v>
                </c:pt>
                <c:pt idx="3">
                  <c:v>78.12</c:v>
                </c:pt>
                <c:pt idx="4">
                  <c:v>76.680000000000007</c:v>
                </c:pt>
                <c:pt idx="5">
                  <c:v>73.77</c:v>
                </c:pt>
                <c:pt idx="6">
                  <c:v>71.3</c:v>
                </c:pt>
                <c:pt idx="7">
                  <c:v>71.3</c:v>
                </c:pt>
                <c:pt idx="8">
                  <c:v>71</c:v>
                </c:pt>
                <c:pt idx="9">
                  <c:v>69.150000000000006</c:v>
                </c:pt>
                <c:pt idx="10">
                  <c:v>68.25</c:v>
                </c:pt>
                <c:pt idx="11">
                  <c:v>67.150000000000006</c:v>
                </c:pt>
                <c:pt idx="12">
                  <c:v>65.53</c:v>
                </c:pt>
                <c:pt idx="13">
                  <c:v>65.25</c:v>
                </c:pt>
                <c:pt idx="14">
                  <c:v>63.5</c:v>
                </c:pt>
                <c:pt idx="15">
                  <c:v>61.77</c:v>
                </c:pt>
                <c:pt idx="16">
                  <c:v>60.81</c:v>
                </c:pt>
                <c:pt idx="17">
                  <c:v>60.15</c:v>
                </c:pt>
                <c:pt idx="18">
                  <c:v>58.55</c:v>
                </c:pt>
                <c:pt idx="19">
                  <c:v>57.05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EA-47DB-88DF-931407A82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4715424"/>
        <c:axId val="1236050592"/>
      </c:scatterChart>
      <c:valAx>
        <c:axId val="161471542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x</a:t>
                </a:r>
                <a:r>
                  <a:rPr lang="en-US" sz="1600" baseline="-25000"/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050592"/>
        <c:crosses val="autoZero"/>
        <c:crossBetween val="midCat"/>
      </c:valAx>
      <c:valAx>
        <c:axId val="123605059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Temperature (</a:t>
                </a:r>
                <a:r>
                  <a:rPr lang="en-US" sz="1600" baseline="30000"/>
                  <a:t>o</a:t>
                </a:r>
                <a:r>
                  <a:rPr lang="en-US" sz="1600"/>
                  <a:t>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715424"/>
        <c:crosses val="autoZero"/>
        <c:crossBetween val="midCat"/>
      </c:valAx>
      <c:spPr>
        <a:noFill/>
        <a:ln w="2222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'NLR of VLE data'!$X$6:$X$13</c:f>
              <c:numCache>
                <c:formatCode>0.00</c:formatCode>
                <c:ptCount val="8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 formatCode="General">
                  <c:v>0.62</c:v>
                </c:pt>
                <c:pt idx="4" formatCode="General">
                  <c:v>0.67</c:v>
                </c:pt>
                <c:pt idx="5" formatCode="General">
                  <c:v>0.77</c:v>
                </c:pt>
                <c:pt idx="6">
                  <c:v>0.85</c:v>
                </c:pt>
                <c:pt idx="7">
                  <c:v>0.9</c:v>
                </c:pt>
              </c:numCache>
            </c:numRef>
          </c:xVal>
          <c:yVal>
            <c:numRef>
              <c:f>'NLR of VLE data'!$Y$6:$Y$13</c:f>
              <c:numCache>
                <c:formatCode>General</c:formatCode>
                <c:ptCount val="8"/>
                <c:pt idx="0">
                  <c:v>3.6400000000000002E-2</c:v>
                </c:pt>
                <c:pt idx="1">
                  <c:v>2.5499999999999998E-2</c:v>
                </c:pt>
                <c:pt idx="2" formatCode="0.0000">
                  <c:v>1.77E-2</c:v>
                </c:pt>
                <c:pt idx="3">
                  <c:v>1.2800000000000001E-2</c:v>
                </c:pt>
                <c:pt idx="4">
                  <c:v>1.23E-2</c:v>
                </c:pt>
                <c:pt idx="5">
                  <c:v>1.46E-2</c:v>
                </c:pt>
                <c:pt idx="6">
                  <c:v>1.9599999999999999E-2</c:v>
                </c:pt>
                <c:pt idx="7" formatCode="0.0000">
                  <c:v>2.4400000000000002E-2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E9-4A2D-9EED-B583CFB4993B}"/>
            </c:ext>
          </c:extLst>
        </c:ser>
        <c:ser>
          <c:idx val="1"/>
          <c:order val="1"/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'NLR of VLE data'!$Z$15:$Z$16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'NLR of VLE data'!$AA$15:$AA$16</c:f>
              <c:numCache>
                <c:formatCode>General</c:formatCode>
                <c:ptCount val="2"/>
                <c:pt idx="0">
                  <c:v>1.72E-2</c:v>
                </c:pt>
                <c:pt idx="1">
                  <c:v>1.72E-2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9E9-4A2D-9EED-B583CFB49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613104"/>
        <c:axId val="1354072944"/>
      </c:scatterChart>
      <c:valAx>
        <c:axId val="836613104"/>
        <c:scaling>
          <c:orientation val="minMax"/>
          <c:max val="1"/>
          <c:min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</a:t>
                </a:r>
                <a:r>
                  <a:rPr lang="en-US" sz="1600" baseline="-25000"/>
                  <a:t>12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072944"/>
        <c:crosses val="autoZero"/>
        <c:crossBetween val="midCat"/>
        <c:majorUnit val="0.1"/>
      </c:valAx>
      <c:valAx>
        <c:axId val="1354072944"/>
        <c:scaling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613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'NLR of VLE data'!$AB$6:$AB$13</c:f>
              <c:numCache>
                <c:formatCode>0.00</c:formatCode>
                <c:ptCount val="8"/>
                <c:pt idx="0" formatCode="General">
                  <c:v>0.05</c:v>
                </c:pt>
                <c:pt idx="1">
                  <c:v>0.1</c:v>
                </c:pt>
                <c:pt idx="2">
                  <c:v>0.2</c:v>
                </c:pt>
                <c:pt idx="3" formatCode="General">
                  <c:v>0.26</c:v>
                </c:pt>
                <c:pt idx="4">
                  <c:v>0.3</c:v>
                </c:pt>
                <c:pt idx="5" formatCode="General">
                  <c:v>0.36</c:v>
                </c:pt>
                <c:pt idx="6" formatCode="General">
                  <c:v>0.44</c:v>
                </c:pt>
                <c:pt idx="7" formatCode="General">
                  <c:v>0.55000000000000004</c:v>
                </c:pt>
              </c:numCache>
            </c:numRef>
          </c:xVal>
          <c:yVal>
            <c:numRef>
              <c:f>'NLR of VLE data'!$AC$6:$AC$13</c:f>
              <c:numCache>
                <c:formatCode>General</c:formatCode>
                <c:ptCount val="8"/>
                <c:pt idx="0">
                  <c:v>3.5799999999999998E-2</c:v>
                </c:pt>
                <c:pt idx="1">
                  <c:v>2.75E-2</c:v>
                </c:pt>
                <c:pt idx="2">
                  <c:v>1.6299999999999999E-2</c:v>
                </c:pt>
                <c:pt idx="3" formatCode="0.0000">
                  <c:v>1.2999999999999999E-2</c:v>
                </c:pt>
                <c:pt idx="4">
                  <c:v>1.23E-2</c:v>
                </c:pt>
                <c:pt idx="5">
                  <c:v>1.3599999999999999E-2</c:v>
                </c:pt>
                <c:pt idx="6">
                  <c:v>1.9800000000000002E-2</c:v>
                </c:pt>
                <c:pt idx="7">
                  <c:v>3.7100000000000001E-2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75-49D1-909F-CE93BDF95331}"/>
            </c:ext>
          </c:extLst>
        </c:ser>
        <c:ser>
          <c:idx val="1"/>
          <c:order val="1"/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'NLR of VLE data'!$Z$15:$Z$16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'NLR of VLE data'!$AA$15:$AA$16</c:f>
              <c:numCache>
                <c:formatCode>General</c:formatCode>
                <c:ptCount val="2"/>
                <c:pt idx="0">
                  <c:v>1.72E-2</c:v>
                </c:pt>
                <c:pt idx="1">
                  <c:v>1.72E-2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75-49D1-909F-CE93BDF95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570352"/>
        <c:axId val="1354106064"/>
      </c:scatterChart>
      <c:valAx>
        <c:axId val="1394570352"/>
        <c:scaling>
          <c:orientation val="minMax"/>
          <c:max val="0.55000000000000004"/>
          <c:min val="5.000000000000001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</a:t>
                </a:r>
                <a:r>
                  <a:rPr lang="en-US" sz="1600" baseline="-25000"/>
                  <a:t>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106064"/>
        <c:crosses val="autoZero"/>
        <c:crossBetween val="midCat"/>
        <c:majorUnit val="5.000000000000001E-2"/>
      </c:valAx>
      <c:valAx>
        <c:axId val="1354106064"/>
        <c:scaling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570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136070</xdr:colOff>
      <xdr:row>43</xdr:row>
      <xdr:rowOff>136070</xdr:rowOff>
    </xdr:from>
    <xdr:to>
      <xdr:col>14</xdr:col>
      <xdr:colOff>544286</xdr:colOff>
      <xdr:row>72</xdr:row>
      <xdr:rowOff>108857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77BAD9-6FBE-203B-6745-78A9EEC8E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54429</xdr:colOff>
      <xdr:row>47</xdr:row>
      <xdr:rowOff>36739</xdr:rowOff>
    </xdr:from>
    <xdr:to>
      <xdr:col>6</xdr:col>
      <xdr:colOff>966107</xdr:colOff>
      <xdr:row>67</xdr:row>
      <xdr:rowOff>136073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C0815B-F2B6-049D-D651-12070C0AB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47</xdr:row>
      <xdr:rowOff>163284</xdr:rowOff>
    </xdr:from>
    <xdr:to>
      <xdr:col>24</xdr:col>
      <xdr:colOff>217715</xdr:colOff>
      <xdr:row>103</xdr:row>
      <xdr:rowOff>40821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2AD067A-CC92-B012-ACF8-CB58299C8D18}"/>
                </a:ext>
              </a:extLst>
            </xdr:cNvPr>
            <xdr:cNvSpPr txBox="1"/>
          </xdr:nvSpPr>
          <xdr:spPr>
            <a:xfrm>
              <a:off x="12192000" y="9783534"/>
              <a:ext cx="7130144" cy="1054553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rtl="0"/>
              <a:r>
                <a:rPr lang="en-US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Vapor-liquid equilibrium for a non-ideal solution</a:t>
              </a:r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Vapor-liquid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equilibrium measurements for a binary mixture are made at constant pressure (760 mm Hg) by mixing volumes of A and B (V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V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to total 100 mL and measuring the vapor mole fractions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𝑦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𝐴𝑒𝑥𝑝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𝑦</m:t>
                      </m:r>
                    </m:e>
                    <m:sub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𝐵𝑒𝑥𝑝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the temperature. The</a:t>
              </a: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amount  of liquid volume in the vapor phase is assumed to be less than 1 mL so that the liquid mole fractions are assumed to essentially the same as the starting values. Al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 the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error is in the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vapor mole fraction of A (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𝑦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𝐴𝑒𝑥𝑝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), which is compared to the value calculated (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𝑦</m:t>
                      </m:r>
                    </m:e>
                    <m:sub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𝐴𝑐𝑎𝑙𝑐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using the modified Raoult's law</a:t>
              </a: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𝐴𝑐𝑎𝑙𝑐</m:t>
                        </m:r>
                      </m:sub>
                    </m:sSub>
                    <m:r>
                      <a:rPr lang="x-IV_mathan" sz="14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  <m:sSub>
                          <m:sSub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𝛾</m:t>
                            </m:r>
                          </m:e>
                          <m:sub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  <m:sSubSup>
                          <m:sSubSup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e>
                          <m:sub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  <m:sup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𝑠𝑎𝑡</m:t>
                            </m:r>
                          </m:sup>
                        </m:sSubSup>
                      </m:num>
                      <m:den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den>
                    </m:f>
                    <m:r>
                      <a:rPr lang="x-IV_mathan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</m:t>
                    </m:r>
                  </m:oMath>
                </m:oMathPara>
              </a14:m>
              <a:endParaRPr lang="x-IV_mathan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𝛾</m:t>
                      </m:r>
                    </m:e>
                    <m:sub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sub>
                  </m:sSub>
                </m:oMath>
              </a14:m>
              <a:r>
                <a:rPr lang="en-US" sz="14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is the activity coefficient for component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 and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en-US" sz="1400" b="0" i="1" baseline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400" b="0" i="1" baseline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</m:t>
                      </m:r>
                    </m:e>
                    <m:sub>
                      <m:r>
                        <a:rPr lang="en-US" sz="1400" b="0" i="1" baseline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sub>
                    <m:sup>
                      <m:r>
                        <a:rPr lang="en-US" sz="1400" b="0" i="1" baseline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𝑠𝑎𝑡</m:t>
                      </m:r>
                    </m:sup>
                  </m:sSubSup>
                </m:oMath>
              </a14:m>
              <a:r>
                <a:rPr lang="en-US" sz="14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is the saturation pressure for component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A.</a:t>
              </a:r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two-parameter Margules equation </a:t>
              </a: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</m:t>
                            </m:r>
                          </m:e>
                          <m:sup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</m:t>
                            </m:r>
                          </m:sup>
                        </m:sSup>
                      </m:num>
                      <m:den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𝑅𝑇</m:t>
                        </m:r>
                      </m:den>
                    </m:f>
                    <m:r>
                      <a:rPr lang="x-IV_mathan" sz="14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sSub>
                      <m:sSub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</m:sSub>
                    <m:d>
                      <m:dPr>
                        <m:begChr m:val="["/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</m:t>
                            </m:r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21</m:t>
                            </m:r>
                          </m:sub>
                        </m:s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12</m:t>
                            </m:r>
                          </m:sub>
                        </m:sSub>
                      </m:e>
                    </m:d>
                    <m:sSub>
                      <m:sSub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x-IV_mathan" sz="14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</m:t>
                        </m:r>
                      </m:sub>
                    </m:sSub>
                    <m:r>
                      <a:rPr lang="x-IV_mathan" sz="14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]</m:t>
                    </m:r>
                  </m:oMath>
                </m:oMathPara>
              </a14:m>
              <a:endParaRPr lang="x-IV_mathan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ctr"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relates the excess Gibbs free energy (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</m:t>
                      </m:r>
                    </m:e>
                    <m:sup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𝐸</m:t>
                      </m:r>
                    </m:sup>
                  </m:sSup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to the liquid mole fractions (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sub>
                  </m:sSub>
                  <m:r>
                    <a:rPr lang="en-US" sz="14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r>
                    <a:rPr lang="en-US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𝐵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and the two Margules parameters (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12</m:t>
                      </m:r>
                    </m:sub>
                  </m:sSub>
                  <m:r>
                    <a:rPr lang="en-US" sz="14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r>
                    <a:rPr lang="en-US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21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). The activity coefficients (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𝛾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sub>
                  </m:sSub>
                  <m:r>
                    <a:rPr lang="en-US" sz="14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r>
                    <a:rPr lang="en-US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𝛾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𝐵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are calculated using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12</m:t>
                      </m:r>
                    </m:sub>
                  </m:sSub>
                </m:oMath>
              </a14:m>
              <a:r>
                <a:rPr lang="en-US" sz="1400" i="1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and</a:t>
              </a:r>
              <a14:m>
                <m:oMath xmlns:m="http://schemas.openxmlformats.org/officeDocument/2006/math">
                  <m:r>
                    <a:rPr lang="en-US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21</m:t>
                      </m:r>
                    </m:sub>
                  </m:sSub>
                </m:oMath>
              </a14:m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ctr"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x-IV_mathan" sz="14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𝑙𝑛</m:t>
                    </m:r>
                    <m:sSub>
                      <m:sSub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𝛾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x-IV_mathan" sz="14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Sup>
                      <m:sSubSup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  <m:sup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  <m:d>
                      <m:dPr>
                        <m:begChr m:val="["/>
                        <m:endChr m:val="]"/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12</m:t>
                            </m:r>
                          </m:sub>
                        </m:s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+2</m:t>
                        </m:r>
                        <m:d>
                          <m:d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x-IV_mathan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x-IV_mathan" sz="140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x-IV_mathan" sz="140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21</m:t>
                                </m:r>
                              </m:sub>
                            </m:sSub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x-IV_mathan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x-IV_mathan" sz="140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x-IV_mathan" sz="140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12</m:t>
                                </m:r>
                              </m:sub>
                            </m:sSub>
                          </m:e>
                        </m:d>
                        <m:sSub>
                          <m:sSub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x-IV_mathan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ctr"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x-IV_mathan" sz="14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𝑙𝑛</m:t>
                    </m:r>
                    <m:sSub>
                      <m:sSub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𝛾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</m:sSub>
                    <m:r>
                      <a:rPr lang="x-IV_mathan" sz="14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Sup>
                      <m:sSubSup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400" b="0" i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A</m:t>
                        </m:r>
                      </m:sub>
                      <m:sup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  <m:d>
                      <m:dPr>
                        <m:begChr m:val="["/>
                        <m:endChr m:val="]"/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21</m:t>
                            </m:r>
                          </m:sub>
                        </m:s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+2</m:t>
                        </m:r>
                        <m:d>
                          <m:d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x-IV_mathan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x-IV_mathan" sz="140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x-IV_mathan" sz="140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12</m:t>
                                </m:r>
                              </m:sub>
                            </m:sSub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x-IV_mathan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x-IV_mathan" sz="140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x-IV_mathan" sz="140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21</m:t>
                                </m:r>
                              </m:sub>
                            </m:sSub>
                          </m:e>
                        </m:d>
                        <m:sSub>
                          <m:sSubPr>
                            <m:ctrlPr>
                              <a:rPr lang="x-IV_mathan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x-IV_mathan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𝐵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x-IV_mathan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values of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12</m:t>
                      </m:r>
                    </m:sub>
                  </m:sSub>
                  <m:r>
                    <a:rPr lang="en-US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21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which are assumed to be independent of temperature, are determined by minimizing the sum of squares [SS 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n-US" sz="14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Σ</m:t>
                  </m:r>
                  <m:sSup>
                    <m:sSup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d>
                        <m:dPr>
                          <m:ctrlPr>
                            <a:rPr lang="en-US" sz="140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en-US" sz="14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40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sub>
                              <m:r>
                                <a:rPr lang="en-US" sz="140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𝐴𝑐𝑎𝑙𝑐</m:t>
                              </m:r>
                            </m:sub>
                          </m:sSub>
                          <m:r>
                            <a:rPr lang="en-US" sz="14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sSub>
                            <m:sSubPr>
                              <m:ctrlPr>
                                <a:rPr lang="en-US" sz="14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40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sub>
                              <m:r>
                                <a:rPr lang="en-US" sz="140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𝐴𝑒𝑥𝑝</m:t>
                              </m:r>
                            </m:sub>
                          </m:sSub>
                        </m:e>
                      </m:d>
                    </m:e>
                    <m:sup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p>
                  </m:sSup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 using Solver. </a:t>
              </a:r>
            </a:p>
            <a:p>
              <a:pPr rtl="0"/>
              <a:r>
                <a:rPr lang="en-US" sz="14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variance is also calculated:</a:t>
              </a:r>
            </a:p>
            <a:p>
              <a:pPr rtl="0"/>
              <a:r>
                <a:rPr lang="en-US" sz="14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</m:e>
                    <m:sup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p>
                  </m:sSup>
                  <m:r>
                    <a:rPr lang="en-US" sz="14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f>
                    <m:f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en-US" sz="140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d>
                            <m:dPr>
                              <m:ctrlPr>
                                <a:rPr lang="en-US" sz="14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sSub>
                                <m:sSubPr>
                                  <m:ctrlPr>
                                    <a:rPr lang="en-US" sz="14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en-US" sz="1400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𝑦</m:t>
                                  </m:r>
                                </m:e>
                                <m:sub>
                                  <m:r>
                                    <a:rPr lang="en-US" sz="1400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𝐴</m:t>
                                  </m:r>
                                  <m:r>
                                    <m:rPr>
                                      <m:sty m:val="p"/>
                                    </m:rPr>
                                    <a:rPr lang="en-US" sz="1400" b="0" i="0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exp</m:t>
                                  </m:r>
                                </m:sub>
                              </m:sSub>
                              <m:r>
                                <a:rPr lang="en-US" sz="140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>
                                <m:sSubPr>
                                  <m:ctrlPr>
                                    <a:rPr lang="en-US" sz="14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en-US" sz="1400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𝑦</m:t>
                                  </m:r>
                                </m:e>
                                <m:sub>
                                  <m:r>
                                    <a:rPr lang="en-US" sz="1400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𝐴𝑚𝑒𝑎𝑛</m:t>
                                  </m:r>
                                </m:sub>
                              </m:sSub>
                            </m:e>
                          </m:d>
                        </m:e>
                        <m:sup>
                          <m:r>
                            <a:rPr lang="en-US" sz="14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num>
                    <m:den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𝑁</m:t>
                      </m:r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−1</m:t>
                      </m:r>
                    </m:den>
                  </m:f>
                  <m:r>
                    <a:rPr lang="en-US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  </m:t>
                  </m:r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N is the number of measurements and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𝑦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𝐴𝑚𝑒𝑎𝑛</m:t>
                      </m:r>
                    </m:sub>
                  </m:sSub>
                  <m:r>
                    <a:rPr lang="en-US" sz="14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mean value of the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𝑦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𝐴𝑒𝑥𝑝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values.</a:t>
              </a: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n-US" sz="1400" b="0" i="0" baseline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Σ</m:t>
                  </m:r>
                  <m:sSup>
                    <m:sSupPr>
                      <m:ctrlPr>
                        <a:rPr lang="en-US" sz="1400" b="0" i="1" baseline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d>
                        <m:dPr>
                          <m:ctrlPr>
                            <a:rPr lang="en-US" sz="1400" b="0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en-US" sz="1400" b="0" i="1" baseline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400" b="0" i="1" baseline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sub>
                              <m:r>
                                <a:rPr lang="en-US" sz="1400" b="0" i="1" baseline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𝐴𝑒𝑥𝑝</m:t>
                              </m:r>
                            </m:sub>
                          </m:sSub>
                          <m:r>
                            <a:rPr lang="en-US" sz="1400" b="0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−</m:t>
                          </m:r>
                          <m:sSub>
                            <m:sSubPr>
                              <m:ctrlPr>
                                <a:rPr lang="en-US" sz="1400" b="0" i="1" baseline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400" b="0" i="1" baseline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sub>
                              <m:r>
                                <a:rPr lang="en-US" sz="1400" b="0" i="1" baseline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𝐴𝑚𝑒𝑎𝑛</m:t>
                              </m:r>
                            </m:sub>
                          </m:sSub>
                        </m:e>
                      </m:d>
                    </m:e>
                    <m:sup>
                      <m:r>
                        <a:rPr lang="en-US" sz="1400" b="0" i="1" baseline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p>
                  </m:sSup>
                </m:oMath>
              </a14:m>
              <a:r>
                <a:rPr lang="en-US" sz="14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is SS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mean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is used to calculate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𝑅</m:t>
                      </m:r>
                    </m:e>
                    <m:sup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p>
                  </m:sSup>
                  <m:r>
                    <a:rPr lang="en-US" sz="14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=1−</m:t>
                  </m:r>
                  <m:f>
                    <m:fPr>
                      <m:ctrlP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𝑆𝑆</m:t>
                      </m:r>
                    </m:num>
                    <m:den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𝑆</m:t>
                      </m:r>
                      <m:sSub>
                        <m:sSubPr>
                          <m:ctrlPr>
                            <a:rPr lang="en-US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𝑆</m:t>
                          </m:r>
                        </m:e>
                        <m:sub>
                          <m:r>
                            <a:rPr lang="en-US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𝑚𝑒𝑎𝑛</m:t>
                          </m:r>
                        </m:sub>
                      </m:sSub>
                    </m:den>
                  </m:f>
                </m:oMath>
              </a14:m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pressure (in mm Hg) at each data point is calculated from the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liquid mole fractions, the a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ctivity coefficients, and the saturation pressures.</a:t>
              </a: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x-IV_mathan" sz="14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  <m:r>
                      <a:rPr lang="x-IV_mathan" sz="14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sSub>
                      <m:sSub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𝛾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sSubSup>
                      <m:sSubSup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  <m:sup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𝑠𝑎𝑡</m:t>
                        </m:r>
                      </m:sup>
                    </m:sSubSup>
                    <m:r>
                      <a:rPr lang="x-IV_mathan" sz="14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</m:sSub>
                    <m:sSub>
                      <m:sSub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𝛾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</m:sSub>
                    <m:sSubSup>
                      <m:sSubSupPr>
                        <m:ctrlPr>
                          <a:rPr lang="x-IV_mathan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  <m:sup>
                        <m:r>
                          <a:rPr lang="x-IV_mathan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𝑠𝑎𝑡</m:t>
                        </m:r>
                      </m:sup>
                    </m:sSubSup>
                  </m:oMath>
                </m:oMathPara>
              </a14:m>
              <a:endParaRPr lang="x-IV_mathan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These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calculated pressures differ from the system pressure of 760 Hg because errors in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b="0" i="1" baseline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 b="0" i="1" baseline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𝑦</m:t>
                      </m:r>
                    </m:e>
                    <m:sub>
                      <m:r>
                        <a:rPr lang="en-US" sz="1400" b="0" i="1" baseline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𝐴𝑐𝑎𝑙𝑐</m:t>
                      </m:r>
                    </m:sub>
                  </m:sSub>
                </m:oMath>
              </a14:m>
              <a:r>
                <a:rPr lang="en-US" sz="14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result in errors in the activity coefficients.</a:t>
              </a: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saturation pressures are determined from Antoine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equations</a:t>
              </a: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4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4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en-US" sz="14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  <m:sup>
                        <m:r>
                          <a:rPr lang="en-US" sz="14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𝑠𝑎𝑡</m:t>
                        </m:r>
                      </m:sup>
                    </m:sSubSup>
                    <m:r>
                      <a:rPr lang="en-US" sz="14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lang="en-US" sz="14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4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4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  <m:r>
                          <a:rPr lang="en-US" sz="14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4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  <m:d>
                          <m:dPr>
                            <m:ctrlPr>
                              <a:rPr lang="en-US" sz="14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US" sz="14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  <m:r>
                              <a:rPr lang="en-US" sz="14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en-US" sz="14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</m:d>
                      </m:sup>
                    </m:sSup>
                  </m:oMath>
                </m:oMathPara>
              </a14:m>
              <a:endParaRPr lang="en-US" sz="14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the pressure is in mm Hg, the temperature is </a:t>
              </a:r>
              <a:r>
                <a:rPr lang="en-US" sz="14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lang="en-US" sz="14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and A, B, and C are constants, unique to eac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h molecule.</a:t>
              </a:r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Confidence limits for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12</m:t>
                      </m:r>
                    </m:sub>
                  </m:sSub>
                  <m:r>
                    <a:rPr lang="en-US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were calculated by varying the value of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12</m:t>
                      </m:r>
                    </m:sub>
                  </m:sSub>
                  <m:r>
                    <a:rPr lang="en-US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around its optimized value and using Solver to generate new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21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values and SS values. The SS values are then plotted versus the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12</m:t>
                      </m:r>
                    </m:sub>
                  </m:sSub>
                  <m:r>
                    <a:rPr lang="en-US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values. The intersections of this curve with the horizontal line generated by the equation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n-US" sz="14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SS</m:t>
                  </m:r>
                  <m:r>
                    <a:rPr lang="en-US" sz="14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∗</m:t>
                  </m:r>
                  <m:d>
                    <m:d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1+</m:t>
                      </m:r>
                      <m:f>
                        <m:fPr>
                          <m:ctrlPr>
                            <a:rPr lang="en-US" sz="140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400" b="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m:rPr>
                                  <m:sty m:val="p"/>
                                </m:rPr>
                                <a:rPr lang="en-US" sz="140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P</m:t>
                              </m:r>
                            </m:e>
                            <m:sub>
                              <m:r>
                                <m:rPr>
                                  <m:sty m:val="p"/>
                                </m:rPr>
                                <a:rPr lang="en-US" sz="1400" b="0" i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m</m:t>
                              </m:r>
                            </m:sub>
                          </m:sSub>
                        </m:num>
                        <m:den>
                          <m:r>
                            <m:rPr>
                              <m:sty m:val="p"/>
                            </m:rPr>
                            <a:rPr lang="en-US" sz="14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df</m:t>
                          </m:r>
                        </m:den>
                      </m:f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∗</m:t>
                      </m:r>
                      <m:r>
                        <m:rPr>
                          <m:sty m:val="p"/>
                        </m:rP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F</m:t>
                      </m:r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m:rPr>
                          <m:sty m:val="p"/>
                        </m:rP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INV</m:t>
                      </m:r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m:rPr>
                          <m:sty m:val="p"/>
                        </m:rP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RT</m:t>
                      </m:r>
                      <m:d>
                        <m:dPr>
                          <m:ctrlPr>
                            <a:rPr lang="en-US" sz="140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4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0.05,</m:t>
                          </m:r>
                          <m:r>
                            <m:rPr>
                              <m:sty m:val="p"/>
                            </m:rPr>
                            <a:rPr lang="en-US" sz="14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P</m:t>
                          </m:r>
                          <m:r>
                            <a:rPr lang="en-US" sz="14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,</m:t>
                          </m:r>
                          <m:r>
                            <m:rPr>
                              <m:sty m:val="p"/>
                            </m:rPr>
                            <a:rPr lang="en-US" sz="14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df</m:t>
                          </m:r>
                        </m:e>
                      </m:d>
                    </m:e>
                  </m:d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are the 95% confidence limits for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12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 In this equation,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</m:t>
                      </m:r>
                    </m:e>
                    <m:sub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𝑚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is the number of parameters, df is the degrees of freedom (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𝑁</m:t>
                  </m:r>
                  <m:r>
                    <a:rPr lang="en-US" sz="14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sSub>
                    <m:sSubPr>
                      <m:ctrlP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</m:t>
                      </m:r>
                    </m:e>
                    <m:sub>
                      <m:r>
                        <a:rPr lang="en-US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𝑚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), and F.INV.RT is an Excel function that calculates the inverse of the right-tailed F probability distribution. The value of 0.05 (</a:t>
              </a:r>
              <a14:m>
                <m:oMath xmlns:m="http://schemas.openxmlformats.org/officeDocument/2006/math">
                  <m:r>
                    <a:rPr lang="en-US" sz="14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=1</m:t>
                  </m:r>
                  <m:r>
                    <a:rPr lang="en-US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en-US" sz="14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f>
                    <m:f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95</m:t>
                      </m:r>
                    </m:num>
                    <m:den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100</m:t>
                      </m:r>
                    </m:den>
                  </m:f>
                  <m:r>
                    <a:rPr lang="en-US" sz="14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)</m:t>
                  </m:r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is for 95% confidence limits. This calculation is repeated by varying the value of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21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using Solver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to generate new A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12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SS values, which are used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to get the 95% confidence limits for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e>
                    <m:sub>
                      <m:r>
                        <a:rPr lang="en-US" sz="14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21</m:t>
                      </m:r>
                    </m:sub>
                  </m:sSub>
                </m:oMath>
              </a14:m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 The horizontal line in the SS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versus A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21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plot is the same as for the SS versus A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12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plot.</a:t>
              </a:r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2AD067A-CC92-B012-ACF8-CB58299C8D18}"/>
                </a:ext>
              </a:extLst>
            </xdr:cNvPr>
            <xdr:cNvSpPr txBox="1"/>
          </xdr:nvSpPr>
          <xdr:spPr>
            <a:xfrm>
              <a:off x="12192000" y="9783534"/>
              <a:ext cx="7130144" cy="1054553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rtl="0"/>
              <a:r>
                <a:rPr lang="en-US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Vapor-liquid equilibrium for a non-ideal solution</a:t>
              </a:r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Vapor-liquid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equilibrium measurements for a binary mixture are made at constant pressure (760 mm Hg) by mixing volumes of A and B (V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V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to total 100 mL and measuring the vapor mole fractions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𝑦_𝐴𝑒𝑥𝑝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</a:t>
              </a:r>
              <a:r>
                <a:rPr lang="en-US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𝑦_𝐵𝑒𝑥𝑝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the temperature. The</a:t>
              </a: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amount  of liquid volume in the vapor phase is assumed to be less than 1 mL so that the liquid mole fractions are assumed to essentially the same as the starting values. Al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 the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error is in the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vapor mole fraction of A (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𝑦_𝐴𝑒𝑥𝑝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), which is compared to the value calculated (</a:t>
              </a:r>
              <a:r>
                <a:rPr lang="en-US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𝑦_𝐴𝑐𝑎𝑙𝑐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using the modified Raoult's law</a:t>
              </a:r>
            </a:p>
            <a:p>
              <a:pPr rtl="0"/>
              <a:r>
                <a:rPr lang="x-IV_mathan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𝑦_𝐴𝑐𝑎𝑙𝑐=(𝑥_𝐴 𝛾_𝐴 𝑃_𝐴^𝑠𝑎𝑡)/𝑃   </a:t>
              </a:r>
              <a:endParaRPr lang="x-IV_mathan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</a:t>
              </a:r>
              <a:r>
                <a:rPr lang="en-US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𝛾_𝐴</a:t>
              </a:r>
              <a:r>
                <a:rPr lang="en-US" sz="14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is the activity coefficient for component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 and </a:t>
              </a:r>
              <a:r>
                <a:rPr lang="en-US" sz="14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𝑃_𝐴^𝑠𝑎𝑡</a:t>
              </a:r>
              <a:r>
                <a:rPr lang="en-US" sz="14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is the saturation pressure for component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A.</a:t>
              </a:r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two-parameter Margules equation </a:t>
              </a:r>
            </a:p>
            <a:p>
              <a:pPr rtl="0"/>
              <a:r>
                <a:rPr lang="x-IV_mathan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𝐺^𝐸/𝑅𝑇=𝑥_𝐴 𝑥_𝐵 [〖(𝐴〗_21−𝐴_12 ) 𝑥_𝐴+𝐴_12]</a:t>
              </a:r>
              <a:endParaRPr lang="x-IV_mathan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ctr"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relates the excess Gibbs free energy (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𝐺^𝐸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to the liquid mole fractions (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𝑥_𝐴, 𝑥_𝐵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and the two Margules parameters (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𝐴_12, 𝐴_21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). The activity coefficients (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𝛾_𝐴, 𝛾_𝐵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are calculated using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𝐴_12</a:t>
              </a:r>
              <a:r>
                <a:rPr lang="en-US" sz="1400" i="1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and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𝐴_21</a:t>
              </a:r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ctr" rtl="0"/>
              <a:r>
                <a:rPr lang="x-IV_mathan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𝑙𝑛𝛾_𝐴=𝑥_𝐵^2 [𝐴_12+2(𝐴_21−𝐴_12 ) 𝑥_𝐴 ]</a:t>
              </a:r>
              <a:endParaRPr lang="x-IV_mathan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ctr" rtl="0"/>
              <a:r>
                <a:rPr lang="x-IV_mathan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𝑙𝑛𝛾_𝐵=𝑥_</a:t>
              </a:r>
              <a:r>
                <a:rPr lang="en-US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A^</a:t>
              </a:r>
              <a:r>
                <a:rPr lang="x-IV_mathan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 [𝐴_21+2(𝐴_12−𝐴_21 ) 𝑥_𝐵 ]</a:t>
              </a:r>
              <a:endParaRPr lang="x-IV_mathan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values of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𝐴_12 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𝐴_21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which are assumed to be independent of temperature, are determined by minimizing the sum of squares [SS =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Σ(𝑦_𝐴𝑐𝑎𝑙𝑐−𝑦_𝐴𝑒𝑥𝑝 )^2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 using Solver. </a:t>
              </a:r>
            </a:p>
            <a:p>
              <a:pPr rtl="0"/>
              <a:r>
                <a:rPr lang="en-US" sz="14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variance is also calculated:</a:t>
              </a:r>
            </a:p>
            <a:p>
              <a:pPr rtl="0"/>
              <a:r>
                <a:rPr lang="en-US" sz="14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𝜎^2=(𝑦_𝐴</a:t>
              </a:r>
              <a:r>
                <a:rPr lang="en-US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exp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−𝑦_𝐴𝑚𝑒𝑎𝑛 )^2/(𝑁−1)   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N is the number of measurements and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𝑦_𝐴𝑚𝑒𝑎𝑛=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mean value of the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𝑦_𝐴𝑒𝑥𝑝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values.</a:t>
              </a: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</a:t>
              </a:r>
              <a:r>
                <a:rPr lang="en-US" sz="14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Σ(𝑦_𝐴𝑒𝑥𝑝  −𝑦_𝐴𝑚𝑒𝑎𝑛 )^2</a:t>
              </a:r>
              <a:r>
                <a:rPr lang="en-US" sz="14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is SS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mean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is used to calculate </a:t>
              </a:r>
              <a:r>
                <a:rPr lang="en-US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𝑅^2=1−𝑆𝑆/(𝑆𝑆_𝑚𝑒𝑎𝑛 )</a:t>
              </a:r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pressure (in mm Hg) at each data point is calculated from the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liquid mole fractions, the a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ctivity coefficients, and the saturation pressures.</a:t>
              </a:r>
            </a:p>
            <a:p>
              <a:pPr rtl="0"/>
              <a:r>
                <a:rPr lang="x-IV_mathan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𝑃=𝑥_𝐴 𝛾_𝐴 𝑃_𝐴^𝑠𝑎𝑡+𝑥_𝐵 𝛾_𝐵 𝑃_𝐵^𝑠𝑎𝑡</a:t>
              </a:r>
              <a:endParaRPr lang="x-IV_mathan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These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calculated pressures differ from the system pressure of 760 Hg because errors in </a:t>
              </a:r>
              <a:r>
                <a:rPr lang="en-US" sz="14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𝑦_𝐴𝑐𝑎𝑙𝑐</a:t>
              </a:r>
              <a:r>
                <a:rPr lang="en-US" sz="14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result in errors in the activity coefficients.</a:t>
              </a: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saturation pressures are determined from Antoine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equations</a:t>
              </a:r>
            </a:p>
            <a:p>
              <a:pPr rtl="0"/>
              <a:r>
                <a:rPr lang="en-US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𝑃_𝐴^𝑠𝑎𝑡=10^(𝐴−𝐵(𝑇+𝐶) )</a:t>
              </a:r>
              <a:endParaRPr lang="en-US" sz="14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the pressure is in mm Hg, the temperature is </a:t>
              </a:r>
              <a:r>
                <a:rPr lang="en-US" sz="14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lang="en-US" sz="14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and A, B, and C are constants, unique to eac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h molecule.</a:t>
              </a:r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Confidence limits for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𝐴_12 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were calculated by varying the value of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𝐴_12 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around its optimized value and using Solver to generate new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𝐴_21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values and SS values. The SS values are then plotted versus the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𝐴_12 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values. The intersections of this curve with the horizontal line generated by the equation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SS∗(1+P</a:t>
              </a:r>
              <a:r>
                <a:rPr lang="en-US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_m/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df∗F.INV.RT(0.05,P,df))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are the 95% confidence limits for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𝐴_12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 In this equation, </a:t>
              </a:r>
              <a:r>
                <a:rPr lang="en-US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𝑃_𝑚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is the number of parameters, df is the degrees of freedom (</a:t>
              </a:r>
              <a:r>
                <a:rPr lang="en-US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𝑁−𝑃_𝑚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), and F.INV.RT is an Excel function that calculates the inverse of the right-tailed F probability distribution. The value of 0.05 (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=1 −95/100)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is for 95% confidence limits. This calculation is repeated by varying the value of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𝐴_21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using Solver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to generate new A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12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SS values, which are used 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to get the 95% confidence limits for </a:t>
              </a:r>
              <a:r>
                <a:rPr lang="en-US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𝐴_21</a:t>
              </a:r>
              <a:r>
                <a:rPr lang="en-US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 The horizontal line in the SS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versus A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21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plot is the same as for the SS versus A</a:t>
              </a:r>
              <a:r>
                <a:rPr lang="en-US" sz="14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12</a:t>
              </a:r>
              <a:r>
                <a:rPr lang="en-US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plot.</a:t>
              </a:r>
              <a:endParaRPr lang="en-US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</xdr:txBody>
        </xdr:sp>
      </mc:Fallback>
    </mc:AlternateContent>
    <xdr:clientData/>
  </xdr:twoCellAnchor>
  <xdr:oneCellAnchor>
    <xdr:from>
      <xdr:col>9</xdr:col>
      <xdr:colOff>258535</xdr:colOff>
      <xdr:row>62</xdr:row>
      <xdr:rowOff>81642</xdr:rowOff>
    </xdr:from>
    <xdr:ext cx="3116036" cy="74982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01694E-924C-2059-BDCE-8993630AC29C}"/>
            </a:ext>
          </a:extLst>
        </xdr:cNvPr>
        <xdr:cNvSpPr txBox="1"/>
      </xdr:nvSpPr>
      <xdr:spPr>
        <a:xfrm>
          <a:off x="9007928" y="12627428"/>
          <a:ext cx="3116036" cy="749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The blue squares are the  data points.</a:t>
          </a:r>
        </a:p>
        <a:p>
          <a:r>
            <a:rPr lang="en-US" sz="1400"/>
            <a:t>The orange line is the nonlinear</a:t>
          </a:r>
          <a:r>
            <a:rPr lang="en-US" sz="1400" baseline="0"/>
            <a:t> least squares fit.</a:t>
          </a:r>
          <a:endParaRPr lang="en-US" sz="1400"/>
        </a:p>
      </xdr:txBody>
    </xdr:sp>
    <xdr:clientData/>
  </xdr:oneCellAnchor>
  <xdr:twoCellAnchor>
    <xdr:from>
      <xdr:col>23</xdr:col>
      <xdr:colOff>244930</xdr:colOff>
      <xdr:row>16</xdr:row>
      <xdr:rowOff>138791</xdr:rowOff>
    </xdr:from>
    <xdr:to>
      <xdr:col>32</xdr:col>
      <xdr:colOff>54429</xdr:colOff>
      <xdr:row>34</xdr:row>
      <xdr:rowOff>54429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D40087-A22D-1B07-0E60-9A3341A15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272140</xdr:colOff>
      <xdr:row>34</xdr:row>
      <xdr:rowOff>125185</xdr:rowOff>
    </xdr:from>
    <xdr:to>
      <xdr:col>33</xdr:col>
      <xdr:colOff>149677</xdr:colOff>
      <xdr:row>52</xdr:row>
      <xdr:rowOff>95249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306D13-55BD-FE18-F12C-007DBDE57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26</xdr:col>
      <xdr:colOff>299357</xdr:colOff>
      <xdr:row>18</xdr:row>
      <xdr:rowOff>190499</xdr:rowOff>
    </xdr:from>
    <xdr:ext cx="2826671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2B5A33A-227B-5C4A-161E-EDAD3F1390FD}"/>
            </a:ext>
          </a:extLst>
        </xdr:cNvPr>
        <xdr:cNvSpPr txBox="1"/>
      </xdr:nvSpPr>
      <xdr:spPr>
        <a:xfrm>
          <a:off x="21322393" y="4054928"/>
          <a:ext cx="28266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Determine confidence limits for</a:t>
          </a:r>
          <a:r>
            <a:rPr lang="en-US" sz="1400" baseline="0"/>
            <a:t> A</a:t>
          </a:r>
          <a:r>
            <a:rPr lang="en-US" sz="1400" baseline="-25000"/>
            <a:t>12</a:t>
          </a:r>
        </a:p>
      </xdr:txBody>
    </xdr:sp>
    <xdr:clientData/>
  </xdr:oneCellAnchor>
  <xdr:oneCellAnchor>
    <xdr:from>
      <xdr:col>26</xdr:col>
      <xdr:colOff>560614</xdr:colOff>
      <xdr:row>37</xdr:row>
      <xdr:rowOff>152399</xdr:rowOff>
    </xdr:from>
    <xdr:ext cx="2766014" cy="31149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E6AA3B5-D8ED-45BD-ABF8-0F43A1D3773B}"/>
            </a:ext>
          </a:extLst>
        </xdr:cNvPr>
        <xdr:cNvSpPr txBox="1"/>
      </xdr:nvSpPr>
      <xdr:spPr>
        <a:xfrm>
          <a:off x="21583650" y="7731578"/>
          <a:ext cx="276601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Determine confidence limits for</a:t>
          </a:r>
          <a:r>
            <a:rPr lang="en-US" sz="1400" baseline="0"/>
            <a:t> A</a:t>
          </a:r>
          <a:r>
            <a:rPr lang="en-US" sz="1400" baseline="-25000"/>
            <a:t>21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D95"/>
  <sheetViews>
    <sheetView tabSelected="1" topLeftCell="V13" zoomScale="120" zoomScaleNormal="120" workbookViewId="0">
      <selection activeCell="Y13" sqref="Y13"/>
    </sheetView>
  </sheetViews>
  <sheetFormatPr defaultRowHeight="14.5"/>
  <cols>
    <col min="2" max="2" width="20.81640625" customWidth="1"/>
    <col min="3" max="3" width="12.26953125" customWidth="1"/>
    <col min="4" max="4" width="15.453125" customWidth="1"/>
    <col min="5" max="5" width="15.81640625" customWidth="1"/>
    <col min="6" max="6" width="7.453125" customWidth="1"/>
    <col min="7" max="7" width="16.54296875" customWidth="1"/>
    <col min="8" max="8" width="17.1796875" customWidth="1"/>
    <col min="9" max="9" width="16.54296875" customWidth="1"/>
    <col min="10" max="10" width="15.1796875" customWidth="1"/>
    <col min="11" max="11" width="7.1796875" customWidth="1"/>
    <col min="12" max="12" width="7" customWidth="1"/>
    <col min="13" max="13" width="8.54296875" customWidth="1"/>
    <col min="14" max="14" width="11.81640625" customWidth="1"/>
    <col min="15" max="15" width="11.7265625" customWidth="1"/>
    <col min="16" max="16" width="9.7265625" customWidth="1"/>
    <col min="17" max="17" width="9.54296875" customWidth="1"/>
    <col min="18" max="18" width="10" customWidth="1"/>
    <col min="19" max="19" width="11.453125" customWidth="1"/>
    <col min="20" max="20" width="14" customWidth="1"/>
    <col min="21" max="21" width="13.81640625" customWidth="1"/>
    <col min="22" max="22" width="13.1796875" customWidth="1"/>
    <col min="23" max="23" width="13.453125" customWidth="1"/>
  </cols>
  <sheetData>
    <row r="1" spans="2:30" ht="18.5">
      <c r="B1" s="58" t="s">
        <v>36</v>
      </c>
    </row>
    <row r="2" spans="2:30" ht="15" thickBot="1">
      <c r="C2" t="s">
        <v>17</v>
      </c>
      <c r="X2" s="43"/>
      <c r="Y2" s="43" t="s">
        <v>58</v>
      </c>
      <c r="Z2" s="43"/>
      <c r="AA2" s="43"/>
      <c r="AB2" s="43"/>
      <c r="AC2" s="43"/>
      <c r="AD2" s="43"/>
    </row>
    <row r="3" spans="2:30" ht="17" thickBot="1">
      <c r="C3" t="s">
        <v>18</v>
      </c>
      <c r="Q3" s="42"/>
      <c r="R3" s="42" t="s">
        <v>39</v>
      </c>
      <c r="S3" s="85" t="s">
        <v>67</v>
      </c>
      <c r="X3" t="s">
        <v>46</v>
      </c>
      <c r="AB3" t="s">
        <v>50</v>
      </c>
    </row>
    <row r="4" spans="2:30" ht="17" thickBot="1">
      <c r="Q4" s="1" t="s">
        <v>8</v>
      </c>
      <c r="R4" s="44">
        <v>0.66700000000000004</v>
      </c>
      <c r="S4" s="1" t="s">
        <v>56</v>
      </c>
      <c r="X4" t="s">
        <v>47</v>
      </c>
      <c r="AB4" t="s">
        <v>51</v>
      </c>
    </row>
    <row r="5" spans="2:30" ht="17" thickBot="1">
      <c r="B5" s="7" t="s">
        <v>32</v>
      </c>
      <c r="C5" s="8" t="s">
        <v>33</v>
      </c>
      <c r="D5" s="8" t="s">
        <v>6</v>
      </c>
      <c r="E5" s="9" t="s">
        <v>7</v>
      </c>
      <c r="G5" s="46" t="s">
        <v>5</v>
      </c>
      <c r="H5" s="45" t="s">
        <v>4</v>
      </c>
      <c r="N5" s="73" t="s">
        <v>10</v>
      </c>
      <c r="O5" s="73"/>
      <c r="P5" s="43"/>
      <c r="Q5" s="1" t="s">
        <v>9</v>
      </c>
      <c r="R5" s="44">
        <v>0.30299999999999999</v>
      </c>
      <c r="S5" s="1" t="s">
        <v>57</v>
      </c>
      <c r="X5" s="42" t="s">
        <v>48</v>
      </c>
      <c r="Y5" s="42" t="s">
        <v>45</v>
      </c>
      <c r="Z5" s="42"/>
      <c r="AA5" s="1"/>
      <c r="AB5" s="42" t="s">
        <v>49</v>
      </c>
      <c r="AC5" s="42" t="s">
        <v>45</v>
      </c>
      <c r="AD5" s="1"/>
    </row>
    <row r="6" spans="2:30" ht="15" thickBot="1">
      <c r="B6" s="2">
        <v>86.9</v>
      </c>
      <c r="C6" s="3">
        <v>84.3</v>
      </c>
      <c r="D6" s="32">
        <v>1</v>
      </c>
      <c r="E6" s="4">
        <v>0.88</v>
      </c>
      <c r="G6" s="21">
        <f>D6/B6</f>
        <v>1.150747986191024E-2</v>
      </c>
      <c r="H6" s="22">
        <f>E6/C6</f>
        <v>1.043890865954923E-2</v>
      </c>
      <c r="N6" s="30" t="s">
        <v>8</v>
      </c>
      <c r="O6" s="10" t="s">
        <v>9</v>
      </c>
      <c r="P6" s="74" t="s">
        <v>45</v>
      </c>
      <c r="X6" s="44">
        <v>0.3</v>
      </c>
      <c r="Y6" s="1">
        <v>3.6400000000000002E-2</v>
      </c>
      <c r="Z6" s="1"/>
      <c r="AA6" s="1"/>
      <c r="AB6" s="1">
        <v>0.05</v>
      </c>
      <c r="AC6" s="1">
        <v>3.5799999999999998E-2</v>
      </c>
      <c r="AD6" s="1"/>
    </row>
    <row r="7" spans="2:30" ht="15" thickBot="1">
      <c r="N7" s="25">
        <v>0.85</v>
      </c>
      <c r="O7" s="75">
        <v>0.23914398012917817</v>
      </c>
      <c r="P7" s="68">
        <f>SS</f>
        <v>1.9630904552311229E-2</v>
      </c>
      <c r="R7" s="70" t="s">
        <v>59</v>
      </c>
      <c r="X7" s="44">
        <v>0.4</v>
      </c>
      <c r="Y7" s="1">
        <v>2.5499999999999998E-2</v>
      </c>
      <c r="Z7" s="1"/>
      <c r="AA7" s="1"/>
      <c r="AB7" s="44">
        <v>0.1</v>
      </c>
      <c r="AC7" s="1">
        <v>2.75E-2</v>
      </c>
      <c r="AD7" s="1"/>
    </row>
    <row r="8" spans="2:30">
      <c r="B8" s="90" t="s">
        <v>14</v>
      </c>
      <c r="C8" s="8" t="s">
        <v>0</v>
      </c>
      <c r="D8" s="8" t="s">
        <v>1</v>
      </c>
      <c r="E8" s="9" t="s">
        <v>2</v>
      </c>
      <c r="G8" s="48"/>
      <c r="R8" s="47" t="s">
        <v>55</v>
      </c>
      <c r="X8" s="44">
        <v>0.5</v>
      </c>
      <c r="Y8" s="68">
        <v>1.77E-2</v>
      </c>
      <c r="Z8" s="1"/>
      <c r="AA8" s="1"/>
      <c r="AB8" s="44">
        <v>0.2</v>
      </c>
      <c r="AC8" s="1">
        <v>1.6299999999999999E-2</v>
      </c>
      <c r="AD8" s="1"/>
    </row>
    <row r="9" spans="2:30" ht="15" thickBot="1">
      <c r="B9" s="91"/>
      <c r="C9" s="18">
        <v>7.024</v>
      </c>
      <c r="D9" s="19">
        <v>1161</v>
      </c>
      <c r="E9" s="20">
        <v>224</v>
      </c>
      <c r="R9" s="68">
        <f>SS*(1+Pm/df*_xlfn.F.INV.RT(0.05,Pm,df))</f>
        <v>2.738414589144705E-2</v>
      </c>
      <c r="X9" s="1">
        <v>0.62</v>
      </c>
      <c r="Y9" s="1">
        <v>1.2800000000000001E-2</v>
      </c>
      <c r="Z9" s="1"/>
      <c r="AA9" s="1"/>
      <c r="AB9" s="1">
        <v>0.26</v>
      </c>
      <c r="AC9" s="68">
        <v>1.2999999999999999E-2</v>
      </c>
      <c r="AD9" s="1"/>
    </row>
    <row r="10" spans="2:30" ht="15" thickBot="1">
      <c r="G10" s="53" t="s">
        <v>41</v>
      </c>
      <c r="H10" s="62">
        <v>20</v>
      </c>
      <c r="I10" t="s">
        <v>43</v>
      </c>
      <c r="X10" s="92">
        <v>0.67</v>
      </c>
      <c r="Y10" s="92">
        <v>1.23E-2</v>
      </c>
      <c r="Z10" s="1"/>
      <c r="AA10" s="1"/>
      <c r="AB10" s="93">
        <v>0.3</v>
      </c>
      <c r="AC10" s="92">
        <v>1.23E-2</v>
      </c>
      <c r="AD10" s="1"/>
    </row>
    <row r="11" spans="2:30" ht="16.5">
      <c r="B11" s="90" t="s">
        <v>15</v>
      </c>
      <c r="C11" s="8" t="s">
        <v>0</v>
      </c>
      <c r="D11" s="8" t="s">
        <v>1</v>
      </c>
      <c r="E11" s="9" t="s">
        <v>2</v>
      </c>
      <c r="G11" s="67" t="s">
        <v>64</v>
      </c>
      <c r="H11" s="62">
        <v>2</v>
      </c>
      <c r="I11" t="s">
        <v>44</v>
      </c>
      <c r="X11" s="1">
        <v>0.77</v>
      </c>
      <c r="Y11" s="1">
        <v>1.46E-2</v>
      </c>
      <c r="Z11" s="1"/>
      <c r="AA11" s="1"/>
      <c r="AB11" s="1">
        <v>0.36</v>
      </c>
      <c r="AC11" s="1">
        <v>1.3599999999999999E-2</v>
      </c>
      <c r="AD11" s="1"/>
    </row>
    <row r="12" spans="2:30" ht="17" thickBot="1">
      <c r="B12" s="91"/>
      <c r="C12" s="18">
        <v>7.9489999999999998</v>
      </c>
      <c r="D12" s="19">
        <v>1657</v>
      </c>
      <c r="E12" s="20">
        <v>227</v>
      </c>
      <c r="G12" s="53" t="s">
        <v>42</v>
      </c>
      <c r="H12" s="62">
        <f>H10-H11</f>
        <v>18</v>
      </c>
      <c r="I12" t="s">
        <v>63</v>
      </c>
      <c r="X12" s="44">
        <v>0.85</v>
      </c>
      <c r="Y12" s="1">
        <v>1.9599999999999999E-2</v>
      </c>
      <c r="Z12" s="1"/>
      <c r="AA12" s="1"/>
      <c r="AB12" s="1">
        <v>0.44</v>
      </c>
      <c r="AC12" s="1">
        <v>1.9800000000000002E-2</v>
      </c>
      <c r="AD12" s="1"/>
    </row>
    <row r="13" spans="2:30" ht="15" thickBot="1">
      <c r="B13" s="35"/>
      <c r="C13" s="36"/>
      <c r="D13" s="37"/>
      <c r="E13" s="38"/>
      <c r="N13" s="43" t="s">
        <v>40</v>
      </c>
      <c r="O13" s="43"/>
      <c r="P13" s="43"/>
      <c r="Q13" s="43"/>
      <c r="X13" s="44">
        <v>0.9</v>
      </c>
      <c r="Y13" s="68">
        <v>2.4400000000000002E-2</v>
      </c>
      <c r="Z13" s="1"/>
      <c r="AA13" s="1"/>
      <c r="AB13" s="1">
        <v>0.55000000000000004</v>
      </c>
      <c r="AC13" s="1">
        <v>3.7100000000000001E-2</v>
      </c>
      <c r="AD13" s="1"/>
    </row>
    <row r="14" spans="2:30">
      <c r="B14" s="35"/>
      <c r="C14" s="36"/>
      <c r="D14" s="37"/>
      <c r="E14" s="38"/>
      <c r="N14" s="76" t="s">
        <v>8</v>
      </c>
      <c r="O14" s="76" t="s">
        <v>9</v>
      </c>
      <c r="X14" s="1"/>
      <c r="Y14" s="1"/>
      <c r="Z14" s="1"/>
      <c r="AA14" s="1"/>
      <c r="AB14" s="1"/>
      <c r="AC14" s="1"/>
      <c r="AD14" s="1"/>
    </row>
    <row r="15" spans="2:30" ht="15" thickBot="1">
      <c r="N15" s="66">
        <v>0.65</v>
      </c>
      <c r="O15" s="66">
        <v>0.35</v>
      </c>
      <c r="X15" s="1"/>
      <c r="Y15" s="1"/>
      <c r="Z15">
        <v>0</v>
      </c>
      <c r="AA15">
        <v>1.72E-2</v>
      </c>
      <c r="AB15" s="1"/>
      <c r="AC15" s="1"/>
      <c r="AD15" s="1"/>
    </row>
    <row r="16" spans="2:30" ht="15" thickBot="1">
      <c r="B16" s="5" t="s">
        <v>19</v>
      </c>
      <c r="C16" s="6">
        <v>760</v>
      </c>
      <c r="X16" s="1"/>
      <c r="Y16" s="1"/>
      <c r="Z16">
        <v>1</v>
      </c>
      <c r="AA16">
        <v>1.72E-2</v>
      </c>
      <c r="AB16" s="1"/>
      <c r="AC16" s="1"/>
      <c r="AD16" s="1"/>
    </row>
    <row r="18" spans="2:30" ht="15" thickBot="1">
      <c r="B18" s="88" t="s">
        <v>3</v>
      </c>
      <c r="C18" s="88"/>
      <c r="D18" s="88"/>
      <c r="E18" s="88"/>
      <c r="G18" s="89" t="s">
        <v>16</v>
      </c>
      <c r="H18" s="89"/>
      <c r="I18" s="89"/>
      <c r="J18" s="89"/>
      <c r="K18" s="89"/>
      <c r="L18" s="89"/>
    </row>
    <row r="19" spans="2:30" ht="22.5" thickBot="1">
      <c r="B19" s="11" t="s">
        <v>35</v>
      </c>
      <c r="C19" s="12" t="s">
        <v>34</v>
      </c>
      <c r="D19" s="49" t="s">
        <v>20</v>
      </c>
      <c r="E19" s="51" t="s">
        <v>27</v>
      </c>
      <c r="G19" s="55" t="s">
        <v>28</v>
      </c>
      <c r="H19" s="49" t="s">
        <v>29</v>
      </c>
      <c r="I19" s="49" t="s">
        <v>30</v>
      </c>
      <c r="J19" s="49" t="s">
        <v>31</v>
      </c>
      <c r="K19" s="77" t="s">
        <v>60</v>
      </c>
      <c r="L19" s="13"/>
      <c r="N19" s="49" t="s">
        <v>20</v>
      </c>
      <c r="O19" s="49" t="s">
        <v>21</v>
      </c>
      <c r="P19" s="50" t="s">
        <v>22</v>
      </c>
      <c r="Q19" s="50" t="s">
        <v>23</v>
      </c>
      <c r="R19" s="49" t="s">
        <v>24</v>
      </c>
      <c r="S19" s="51" t="s">
        <v>25</v>
      </c>
      <c r="T19" s="63" t="s">
        <v>52</v>
      </c>
      <c r="U19" s="64" t="s">
        <v>53</v>
      </c>
      <c r="V19" s="65" t="s">
        <v>37</v>
      </c>
      <c r="W19" s="65" t="s">
        <v>38</v>
      </c>
    </row>
    <row r="20" spans="2:30">
      <c r="B20" s="59"/>
      <c r="C20" s="60"/>
      <c r="D20" s="60">
        <v>0</v>
      </c>
      <c r="E20" s="61"/>
      <c r="G20" s="59">
        <v>0</v>
      </c>
      <c r="H20" s="60"/>
      <c r="I20" s="60"/>
      <c r="J20" s="60"/>
      <c r="K20" s="60"/>
      <c r="L20" s="61"/>
      <c r="N20" s="60"/>
      <c r="O20" s="60">
        <v>0</v>
      </c>
      <c r="P20" s="60"/>
      <c r="Q20" s="60"/>
      <c r="R20" s="83"/>
      <c r="S20" s="84"/>
      <c r="T20" s="62"/>
      <c r="U20" s="1"/>
      <c r="V20" s="1"/>
      <c r="W20" s="1"/>
    </row>
    <row r="21" spans="2:30">
      <c r="B21" s="16">
        <v>5</v>
      </c>
      <c r="C21" s="17">
        <v>95</v>
      </c>
      <c r="D21" s="28">
        <v>0.30299999999999999</v>
      </c>
      <c r="E21" s="33">
        <v>92.32</v>
      </c>
      <c r="G21" s="27">
        <f t="shared" ref="G21:G40" si="0">B21*$G$6/(B21*$G$6+C21*$H$6)</f>
        <v>5.4837542965832882E-2</v>
      </c>
      <c r="H21" s="28">
        <f t="shared" ref="H21:H40" si="1">1-G21</f>
        <v>0.94516245703416712</v>
      </c>
      <c r="I21" s="54">
        <f t="shared" ref="I21:I40" si="2">10^($C$9-$D$9/(E21+$E$9))</f>
        <v>2257.6996250126126</v>
      </c>
      <c r="J21" s="54">
        <f t="shared" ref="J21:J40" si="3">10^($C$12-$D$12/(E21+$E$12))</f>
        <v>575.23864168776845</v>
      </c>
      <c r="K21" s="54">
        <f>G21*P21*I21+H21*Q21*J21</f>
        <v>795.16485508471624</v>
      </c>
      <c r="L21" s="29"/>
      <c r="N21" s="28">
        <f>D21</f>
        <v>0.30299999999999999</v>
      </c>
      <c r="O21" s="28">
        <f t="shared" ref="O21:O40" si="4">G21*P21*I21/P</f>
        <v>0.32787786949510328</v>
      </c>
      <c r="P21" s="28">
        <f t="shared" ref="P21:P40" si="5">EXP(H21^2*(A12x+2*(A21x-A12x)*G21))</f>
        <v>2.0127115934170616</v>
      </c>
      <c r="Q21" s="28">
        <f t="shared" ref="Q21:Q40" si="6">EXP(G21^2*(A21x+2*(A12x-A21x)*H21))</f>
        <v>1.0042003524858003</v>
      </c>
      <c r="R21" s="28">
        <f>1-N21</f>
        <v>0.69700000000000006</v>
      </c>
      <c r="S21" s="28">
        <f t="shared" ref="S21:S40" si="7">H21*Q21*J21/P</f>
        <v>0.71839167666899695</v>
      </c>
      <c r="T21" s="52">
        <f>(O21-N21)</f>
        <v>2.4877869495103289E-2</v>
      </c>
      <c r="U21" s="52">
        <f>(S21-R21)</f>
        <v>2.1391676668996884E-2</v>
      </c>
      <c r="V21" s="36">
        <f t="shared" ref="V21:V40" si="8">N21-yAavg</f>
        <v>-0.4794500000000001</v>
      </c>
      <c r="W21" s="36">
        <f t="shared" ref="W21:W40" si="9">R21-yBavg</f>
        <v>0.4794500000000001</v>
      </c>
      <c r="Y21" s="69"/>
      <c r="AA21" s="36"/>
      <c r="AB21" s="69"/>
      <c r="AC21" s="38"/>
      <c r="AD21" s="1"/>
    </row>
    <row r="22" spans="2:30">
      <c r="B22" s="14">
        <v>12</v>
      </c>
      <c r="C22" s="15">
        <v>88</v>
      </c>
      <c r="D22" s="23">
        <v>0.46200000000000002</v>
      </c>
      <c r="E22" s="34">
        <v>85.17</v>
      </c>
      <c r="G22" s="24">
        <f t="shared" si="0"/>
        <v>0.13067849473255605</v>
      </c>
      <c r="H22" s="23">
        <f t="shared" si="1"/>
        <v>0.86932150526744389</v>
      </c>
      <c r="I22" s="56">
        <f t="shared" si="2"/>
        <v>1856.8824979934448</v>
      </c>
      <c r="J22" s="56">
        <f t="shared" si="3"/>
        <v>437.51681259879587</v>
      </c>
      <c r="K22" s="54">
        <f t="shared" ref="K22:K40" si="10">G22*P22*I22+H22*Q22*J22</f>
        <v>797.7391143660542</v>
      </c>
      <c r="L22" s="29"/>
      <c r="N22" s="28">
        <f t="shared" ref="N22:N40" si="11">D22</f>
        <v>0.46200000000000002</v>
      </c>
      <c r="O22" s="28">
        <f t="shared" si="4"/>
        <v>0.53796097016560118</v>
      </c>
      <c r="P22" s="28">
        <f t="shared" si="5"/>
        <v>1.6849065335115905</v>
      </c>
      <c r="Q22" s="28">
        <f t="shared" si="6"/>
        <v>1.022469213335355</v>
      </c>
      <c r="R22" s="28">
        <f t="shared" ref="R22:R40" si="12">1-N22</f>
        <v>0.53800000000000003</v>
      </c>
      <c r="S22" s="28">
        <f t="shared" si="7"/>
        <v>0.51169575926341748</v>
      </c>
      <c r="T22" s="52">
        <f t="shared" ref="T22:T40" si="13">(O22-N22)</f>
        <v>7.596097016560116E-2</v>
      </c>
      <c r="U22" s="52">
        <f t="shared" ref="U22:U40" si="14">(S22-R22)</f>
        <v>-2.6304240736582551E-2</v>
      </c>
      <c r="V22" s="36">
        <f t="shared" si="8"/>
        <v>-0.32045000000000007</v>
      </c>
      <c r="W22" s="36">
        <f t="shared" si="9"/>
        <v>0.32045000000000007</v>
      </c>
      <c r="Y22" s="69"/>
      <c r="AA22" s="36"/>
      <c r="AB22" s="69"/>
      <c r="AC22" s="38"/>
      <c r="AD22" s="1"/>
    </row>
    <row r="23" spans="2:30">
      <c r="B23" s="14">
        <v>19</v>
      </c>
      <c r="C23" s="15">
        <v>81</v>
      </c>
      <c r="D23" s="23">
        <v>0.629</v>
      </c>
      <c r="E23" s="34">
        <v>80.290000000000006</v>
      </c>
      <c r="G23" s="24">
        <f t="shared" si="0"/>
        <v>0.20545330564709899</v>
      </c>
      <c r="H23" s="23">
        <f t="shared" si="1"/>
        <v>0.79454669435290104</v>
      </c>
      <c r="I23" s="56">
        <f t="shared" si="2"/>
        <v>1616.444436593717</v>
      </c>
      <c r="J23" s="56">
        <f t="shared" si="3"/>
        <v>360.32929102544796</v>
      </c>
      <c r="K23" s="54">
        <f t="shared" si="10"/>
        <v>786.03119100970071</v>
      </c>
      <c r="L23" s="29"/>
      <c r="N23" s="28">
        <f t="shared" si="11"/>
        <v>0.629</v>
      </c>
      <c r="O23" s="28">
        <f t="shared" si="4"/>
        <v>0.6378052111584398</v>
      </c>
      <c r="P23" s="28">
        <f t="shared" si="5"/>
        <v>1.4595794546127365</v>
      </c>
      <c r="Q23" s="28">
        <f t="shared" si="6"/>
        <v>1.0523956159049728</v>
      </c>
      <c r="R23" s="28">
        <f t="shared" si="12"/>
        <v>0.371</v>
      </c>
      <c r="S23" s="28">
        <f t="shared" si="7"/>
        <v>0.39644635595958744</v>
      </c>
      <c r="T23" s="52">
        <f t="shared" si="13"/>
        <v>8.8052111584397963E-3</v>
      </c>
      <c r="U23" s="52">
        <f t="shared" si="14"/>
        <v>2.5446355959587441E-2</v>
      </c>
      <c r="V23" s="36">
        <f t="shared" si="8"/>
        <v>-0.15345000000000009</v>
      </c>
      <c r="W23" s="36">
        <f t="shared" si="9"/>
        <v>0.15345000000000003</v>
      </c>
      <c r="Y23" s="69"/>
      <c r="AA23" s="36"/>
      <c r="AB23" s="69"/>
      <c r="AC23" s="38"/>
      <c r="AD23" s="1"/>
    </row>
    <row r="24" spans="2:30">
      <c r="B24" s="14">
        <v>23</v>
      </c>
      <c r="C24" s="15">
        <v>77</v>
      </c>
      <c r="D24" s="23">
        <v>0.627</v>
      </c>
      <c r="E24" s="34">
        <v>78.12</v>
      </c>
      <c r="G24" s="24">
        <f t="shared" si="0"/>
        <v>0.24771171053310714</v>
      </c>
      <c r="H24" s="23">
        <f t="shared" si="1"/>
        <v>0.75228828946689286</v>
      </c>
      <c r="I24" s="56">
        <f t="shared" si="2"/>
        <v>1517.5957334604195</v>
      </c>
      <c r="J24" s="56">
        <f t="shared" si="3"/>
        <v>329.87527405062229</v>
      </c>
      <c r="K24" s="54">
        <f t="shared" si="10"/>
        <v>778.87238315076615</v>
      </c>
      <c r="L24" s="29"/>
      <c r="N24" s="28">
        <f t="shared" si="11"/>
        <v>0.627</v>
      </c>
      <c r="O24" s="28">
        <f t="shared" si="4"/>
        <v>0.67425322335481463</v>
      </c>
      <c r="P24" s="28">
        <f t="shared" si="5"/>
        <v>1.3631196814565718</v>
      </c>
      <c r="Q24" s="28">
        <f t="shared" si="6"/>
        <v>1.0736562362131639</v>
      </c>
      <c r="R24" s="28">
        <f t="shared" si="12"/>
        <v>0.373</v>
      </c>
      <c r="S24" s="28">
        <f t="shared" si="7"/>
        <v>0.35057885973829883</v>
      </c>
      <c r="T24" s="52">
        <f t="shared" si="13"/>
        <v>4.7253223354814633E-2</v>
      </c>
      <c r="U24" s="52">
        <f t="shared" si="14"/>
        <v>-2.2421140261701167E-2</v>
      </c>
      <c r="V24" s="36">
        <f t="shared" si="8"/>
        <v>-0.15545000000000009</v>
      </c>
      <c r="W24" s="36">
        <f t="shared" si="9"/>
        <v>0.15545000000000003</v>
      </c>
      <c r="Y24" s="69"/>
      <c r="AA24" s="36"/>
      <c r="AB24" s="69"/>
      <c r="AC24" s="38"/>
      <c r="AD24" s="1"/>
    </row>
    <row r="25" spans="2:30">
      <c r="B25" s="14">
        <v>26</v>
      </c>
      <c r="C25" s="15">
        <v>74</v>
      </c>
      <c r="D25" s="23">
        <v>0.70699999999999996</v>
      </c>
      <c r="E25" s="34">
        <v>76.680000000000007</v>
      </c>
      <c r="G25" s="24">
        <f t="shared" si="0"/>
        <v>0.27918429985091825</v>
      </c>
      <c r="H25" s="23">
        <f t="shared" si="1"/>
        <v>0.72081570014908181</v>
      </c>
      <c r="I25" s="56">
        <f t="shared" si="2"/>
        <v>1454.6287327039934</v>
      </c>
      <c r="J25" s="56">
        <f t="shared" si="3"/>
        <v>310.88410995679578</v>
      </c>
      <c r="K25" s="54">
        <f t="shared" si="10"/>
        <v>773.5567198140028</v>
      </c>
      <c r="L25" s="29"/>
      <c r="N25" s="28">
        <f t="shared" si="11"/>
        <v>0.70699999999999996</v>
      </c>
      <c r="O25" s="28">
        <f t="shared" si="4"/>
        <v>0.69609104720082404</v>
      </c>
      <c r="P25" s="28">
        <f t="shared" si="5"/>
        <v>1.3026762247454768</v>
      </c>
      <c r="Q25" s="28">
        <f t="shared" si="6"/>
        <v>1.0912015847026408</v>
      </c>
      <c r="R25" s="28">
        <f t="shared" si="12"/>
        <v>0.29300000000000004</v>
      </c>
      <c r="S25" s="28">
        <f t="shared" si="7"/>
        <v>0.32174674202812709</v>
      </c>
      <c r="T25" s="52">
        <f t="shared" si="13"/>
        <v>-1.0908952799175919E-2</v>
      </c>
      <c r="U25" s="52">
        <f t="shared" si="14"/>
        <v>2.8746742028127048E-2</v>
      </c>
      <c r="V25" s="36">
        <f t="shared" si="8"/>
        <v>-7.5450000000000128E-2</v>
      </c>
      <c r="W25" s="36">
        <f t="shared" si="9"/>
        <v>7.5450000000000073E-2</v>
      </c>
      <c r="Y25" s="69"/>
      <c r="AA25" s="36"/>
      <c r="AB25" s="69"/>
      <c r="AC25" s="38"/>
      <c r="AD25" s="1"/>
    </row>
    <row r="26" spans="2:30">
      <c r="B26" s="14">
        <v>33</v>
      </c>
      <c r="C26" s="15">
        <v>67</v>
      </c>
      <c r="D26" s="23">
        <v>0.71199999999999997</v>
      </c>
      <c r="E26" s="34">
        <v>73.77</v>
      </c>
      <c r="G26" s="24">
        <f t="shared" si="0"/>
        <v>0.3518931825391966</v>
      </c>
      <c r="H26" s="23">
        <f t="shared" si="1"/>
        <v>0.64810681746080334</v>
      </c>
      <c r="I26" s="56">
        <f t="shared" si="2"/>
        <v>1333.5753640009887</v>
      </c>
      <c r="J26" s="56">
        <f t="shared" si="3"/>
        <v>275.30045481798487</v>
      </c>
      <c r="K26" s="54">
        <f t="shared" si="10"/>
        <v>762.55680028409188</v>
      </c>
      <c r="L26" s="29"/>
      <c r="N26" s="28">
        <f t="shared" si="11"/>
        <v>0.71199999999999997</v>
      </c>
      <c r="O26" s="28">
        <f t="shared" si="4"/>
        <v>0.73662786245213341</v>
      </c>
      <c r="P26" s="28">
        <f t="shared" si="5"/>
        <v>1.1929804235143424</v>
      </c>
      <c r="Q26" s="28">
        <f t="shared" si="6"/>
        <v>1.1361672721488354</v>
      </c>
      <c r="R26" s="28">
        <f t="shared" si="12"/>
        <v>0.28800000000000003</v>
      </c>
      <c r="S26" s="28">
        <f t="shared" si="7"/>
        <v>0.26673634844798749</v>
      </c>
      <c r="T26" s="52">
        <f t="shared" si="13"/>
        <v>2.4627862452133442E-2</v>
      </c>
      <c r="U26" s="52">
        <f t="shared" si="14"/>
        <v>-2.1263651552012541E-2</v>
      </c>
      <c r="V26" s="36">
        <f t="shared" si="8"/>
        <v>-7.0450000000000124E-2</v>
      </c>
      <c r="W26" s="36">
        <f t="shared" si="9"/>
        <v>7.0450000000000068E-2</v>
      </c>
      <c r="Y26" s="69"/>
      <c r="AA26" s="36"/>
      <c r="AB26" s="69"/>
      <c r="AC26" s="38"/>
      <c r="AD26" s="1"/>
    </row>
    <row r="27" spans="2:30">
      <c r="B27" s="14">
        <v>40</v>
      </c>
      <c r="C27" s="15">
        <v>60</v>
      </c>
      <c r="D27" s="23">
        <v>0.75600000000000001</v>
      </c>
      <c r="E27" s="34">
        <v>71.3</v>
      </c>
      <c r="G27" s="24">
        <f t="shared" si="0"/>
        <v>0.42360106126386876</v>
      </c>
      <c r="H27" s="23">
        <f t="shared" si="1"/>
        <v>0.57639893873613124</v>
      </c>
      <c r="I27" s="56">
        <f t="shared" si="2"/>
        <v>1237.1005838154861</v>
      </c>
      <c r="J27" s="56">
        <f t="shared" si="3"/>
        <v>247.8502758724328</v>
      </c>
      <c r="K27" s="54">
        <f t="shared" si="10"/>
        <v>754.45151419283116</v>
      </c>
      <c r="L27" s="29"/>
      <c r="N27" s="28">
        <f t="shared" si="11"/>
        <v>0.75600000000000001</v>
      </c>
      <c r="O27" s="28">
        <f t="shared" si="4"/>
        <v>0.77005473606265751</v>
      </c>
      <c r="P27" s="28">
        <f t="shared" si="5"/>
        <v>1.1167941675401245</v>
      </c>
      <c r="Q27" s="28">
        <f t="shared" si="6"/>
        <v>1.1844404417384866</v>
      </c>
      <c r="R27" s="28">
        <f t="shared" si="12"/>
        <v>0.24399999999999999</v>
      </c>
      <c r="S27" s="28">
        <f t="shared" si="7"/>
        <v>0.22264462471738353</v>
      </c>
      <c r="T27" s="52">
        <f t="shared" si="13"/>
        <v>1.4054736062657502E-2</v>
      </c>
      <c r="U27" s="52">
        <f t="shared" si="14"/>
        <v>-2.1355375282616468E-2</v>
      </c>
      <c r="V27" s="36">
        <f t="shared" si="8"/>
        <v>-2.6450000000000085E-2</v>
      </c>
      <c r="W27" s="36">
        <f t="shared" si="9"/>
        <v>2.6450000000000029E-2</v>
      </c>
      <c r="Y27" s="69"/>
      <c r="AA27" s="36"/>
      <c r="AB27" s="69"/>
      <c r="AC27" s="38"/>
      <c r="AD27" s="1"/>
    </row>
    <row r="28" spans="2:30">
      <c r="B28" s="14">
        <v>40</v>
      </c>
      <c r="C28" s="15">
        <v>60</v>
      </c>
      <c r="D28" s="23">
        <v>0.80600000000000005</v>
      </c>
      <c r="E28" s="34">
        <v>71.3</v>
      </c>
      <c r="G28" s="24">
        <f t="shared" si="0"/>
        <v>0.42360106126386876</v>
      </c>
      <c r="H28" s="23">
        <f t="shared" si="1"/>
        <v>0.57639893873613124</v>
      </c>
      <c r="I28" s="56">
        <f t="shared" si="2"/>
        <v>1237.1005838154861</v>
      </c>
      <c r="J28" s="56">
        <f t="shared" si="3"/>
        <v>247.8502758724328</v>
      </c>
      <c r="K28" s="54">
        <f t="shared" si="10"/>
        <v>754.45151419283116</v>
      </c>
      <c r="L28" s="29"/>
      <c r="N28" s="28">
        <f t="shared" si="11"/>
        <v>0.80600000000000005</v>
      </c>
      <c r="O28" s="28">
        <f t="shared" si="4"/>
        <v>0.77005473606265751</v>
      </c>
      <c r="P28" s="28">
        <f t="shared" si="5"/>
        <v>1.1167941675401245</v>
      </c>
      <c r="Q28" s="28">
        <f t="shared" si="6"/>
        <v>1.1844404417384866</v>
      </c>
      <c r="R28" s="28">
        <f t="shared" si="12"/>
        <v>0.19399999999999995</v>
      </c>
      <c r="S28" s="28">
        <f t="shared" si="7"/>
        <v>0.22264462471738353</v>
      </c>
      <c r="T28" s="52">
        <f t="shared" si="13"/>
        <v>-3.5945263937342542E-2</v>
      </c>
      <c r="U28" s="52">
        <f t="shared" si="14"/>
        <v>2.8644624717383577E-2</v>
      </c>
      <c r="V28" s="36">
        <f t="shared" si="8"/>
        <v>2.354999999999996E-2</v>
      </c>
      <c r="W28" s="36">
        <f t="shared" si="9"/>
        <v>-2.3550000000000015E-2</v>
      </c>
      <c r="Y28" s="69"/>
      <c r="AA28" s="36"/>
      <c r="AB28" s="69"/>
      <c r="AC28" s="38"/>
      <c r="AD28" s="1"/>
    </row>
    <row r="29" spans="2:30">
      <c r="B29" s="14">
        <v>41</v>
      </c>
      <c r="C29" s="15">
        <v>59</v>
      </c>
      <c r="D29" s="23">
        <v>0.76300000000000001</v>
      </c>
      <c r="E29" s="34">
        <v>71</v>
      </c>
      <c r="G29" s="24">
        <f t="shared" si="0"/>
        <v>0.43376453349009075</v>
      </c>
      <c r="H29" s="23">
        <f t="shared" si="1"/>
        <v>0.56623546650990919</v>
      </c>
      <c r="I29" s="56">
        <f t="shared" si="2"/>
        <v>1225.7637669877554</v>
      </c>
      <c r="J29" s="56">
        <f t="shared" si="3"/>
        <v>244.67934849503357</v>
      </c>
      <c r="K29" s="54">
        <f t="shared" si="10"/>
        <v>754.22102265921762</v>
      </c>
      <c r="L29" s="29"/>
      <c r="N29" s="28">
        <f t="shared" si="11"/>
        <v>0.76300000000000001</v>
      </c>
      <c r="O29" s="28">
        <f t="shared" si="4"/>
        <v>0.77520133010849968</v>
      </c>
      <c r="P29" s="28">
        <f t="shared" si="5"/>
        <v>1.1080702185142401</v>
      </c>
      <c r="Q29" s="28">
        <f t="shared" si="6"/>
        <v>1.1914300145788501</v>
      </c>
      <c r="R29" s="28">
        <f t="shared" si="12"/>
        <v>0.23699999999999999</v>
      </c>
      <c r="S29" s="28">
        <f t="shared" si="7"/>
        <v>0.21719475233783936</v>
      </c>
      <c r="T29" s="52">
        <f t="shared" si="13"/>
        <v>1.2201330108499664E-2</v>
      </c>
      <c r="U29" s="52">
        <f t="shared" si="14"/>
        <v>-1.980524766216063E-2</v>
      </c>
      <c r="V29" s="36">
        <f t="shared" si="8"/>
        <v>-1.9450000000000078E-2</v>
      </c>
      <c r="W29" s="36">
        <f t="shared" si="9"/>
        <v>1.9450000000000023E-2</v>
      </c>
      <c r="Y29" s="69"/>
      <c r="AA29" s="36"/>
      <c r="AB29" s="69"/>
      <c r="AC29" s="38"/>
      <c r="AD29" s="1"/>
    </row>
    <row r="30" spans="2:30">
      <c r="B30" s="14">
        <v>47</v>
      </c>
      <c r="C30" s="15">
        <v>53</v>
      </c>
      <c r="D30" s="23">
        <v>0.84399999999999997</v>
      </c>
      <c r="E30" s="34">
        <v>69.150000000000006</v>
      </c>
      <c r="G30" s="24">
        <f t="shared" si="0"/>
        <v>0.49432846636280747</v>
      </c>
      <c r="H30" s="23">
        <f t="shared" si="1"/>
        <v>0.50567153363719253</v>
      </c>
      <c r="I30" s="56">
        <f t="shared" si="2"/>
        <v>1157.6311006196333</v>
      </c>
      <c r="J30" s="56">
        <f t="shared" si="3"/>
        <v>225.87200178966461</v>
      </c>
      <c r="K30" s="54">
        <f t="shared" si="10"/>
        <v>750.23643559551772</v>
      </c>
      <c r="L30" s="29"/>
      <c r="N30" s="28">
        <f t="shared" si="11"/>
        <v>0.84399999999999997</v>
      </c>
      <c r="O30" s="28">
        <f t="shared" si="4"/>
        <v>0.80186044390691391</v>
      </c>
      <c r="P30" s="28">
        <f t="shared" si="5"/>
        <v>1.0649435218148127</v>
      </c>
      <c r="Q30" s="28">
        <f t="shared" si="6"/>
        <v>1.2329377150236813</v>
      </c>
      <c r="R30" s="28">
        <f t="shared" si="12"/>
        <v>0.15600000000000003</v>
      </c>
      <c r="S30" s="28">
        <f t="shared" si="7"/>
        <v>0.18529276082403054</v>
      </c>
      <c r="T30" s="52">
        <f t="shared" si="13"/>
        <v>-4.2139556093086061E-2</v>
      </c>
      <c r="U30" s="52">
        <f t="shared" si="14"/>
        <v>2.9292760824030512E-2</v>
      </c>
      <c r="V30" s="36">
        <f t="shared" si="8"/>
        <v>6.1549999999999883E-2</v>
      </c>
      <c r="W30" s="36">
        <f t="shared" si="9"/>
        <v>-6.1549999999999938E-2</v>
      </c>
      <c r="Y30" s="69"/>
      <c r="AA30" s="36"/>
      <c r="AB30" s="69"/>
      <c r="AC30" s="38"/>
      <c r="AD30" s="1"/>
    </row>
    <row r="31" spans="2:30">
      <c r="B31" s="14">
        <v>50</v>
      </c>
      <c r="C31" s="15">
        <v>50</v>
      </c>
      <c r="D31" s="23">
        <v>0.85799999999999998</v>
      </c>
      <c r="E31" s="34">
        <v>68.25</v>
      </c>
      <c r="G31" s="24">
        <f t="shared" si="0"/>
        <v>0.5243450352051352</v>
      </c>
      <c r="H31" s="23">
        <f t="shared" si="1"/>
        <v>0.4756549647948648</v>
      </c>
      <c r="I31" s="56">
        <f t="shared" si="2"/>
        <v>1125.5734068775312</v>
      </c>
      <c r="J31" s="56">
        <f t="shared" si="3"/>
        <v>217.1735563619697</v>
      </c>
      <c r="K31" s="54">
        <f t="shared" si="10"/>
        <v>748.25466552365015</v>
      </c>
      <c r="L31" s="29"/>
      <c r="N31" s="28">
        <f t="shared" si="11"/>
        <v>0.85799999999999998</v>
      </c>
      <c r="O31" s="28">
        <f t="shared" si="4"/>
        <v>0.81424063473175889</v>
      </c>
      <c r="P31" s="28">
        <f t="shared" si="5"/>
        <v>1.0485167685310779</v>
      </c>
      <c r="Q31" s="28">
        <f t="shared" si="6"/>
        <v>1.2529737047050278</v>
      </c>
      <c r="R31" s="28">
        <f t="shared" si="12"/>
        <v>0.14200000000000002</v>
      </c>
      <c r="S31" s="28">
        <f t="shared" si="7"/>
        <v>0.17030497779935969</v>
      </c>
      <c r="T31" s="52">
        <f t="shared" si="13"/>
        <v>-4.3759365268241091E-2</v>
      </c>
      <c r="U31" s="52">
        <f t="shared" si="14"/>
        <v>2.8304977799359671E-2</v>
      </c>
      <c r="V31" s="36">
        <f t="shared" si="8"/>
        <v>7.5549999999999895E-2</v>
      </c>
      <c r="W31" s="36">
        <f t="shared" si="9"/>
        <v>-7.5549999999999951E-2</v>
      </c>
      <c r="Y31" s="69"/>
      <c r="AA31" s="36"/>
      <c r="AB31" s="69"/>
      <c r="AC31" s="38"/>
      <c r="AD31" s="1"/>
    </row>
    <row r="32" spans="2:30">
      <c r="B32" s="14">
        <v>54</v>
      </c>
      <c r="C32" s="15">
        <v>46</v>
      </c>
      <c r="D32" s="23">
        <v>0.82599999999999996</v>
      </c>
      <c r="E32" s="34">
        <v>67.150000000000006</v>
      </c>
      <c r="G32" s="24">
        <f t="shared" si="0"/>
        <v>0.56409537055670489</v>
      </c>
      <c r="H32" s="23">
        <f t="shared" si="1"/>
        <v>0.43590462944329511</v>
      </c>
      <c r="I32" s="56">
        <f t="shared" si="2"/>
        <v>1087.3384870359705</v>
      </c>
      <c r="J32" s="56">
        <f t="shared" si="3"/>
        <v>206.92818563684193</v>
      </c>
      <c r="K32" s="54">
        <f t="shared" si="10"/>
        <v>747.70385033122693</v>
      </c>
      <c r="L32" s="29"/>
      <c r="N32" s="28">
        <f t="shared" si="11"/>
        <v>0.82599999999999996</v>
      </c>
      <c r="O32" s="28">
        <f t="shared" si="4"/>
        <v>0.83210147700784665</v>
      </c>
      <c r="P32" s="28">
        <f t="shared" si="5"/>
        <v>1.0310330554078426</v>
      </c>
      <c r="Q32" s="28">
        <f t="shared" si="6"/>
        <v>1.2783315761960345</v>
      </c>
      <c r="R32" s="28">
        <f t="shared" si="12"/>
        <v>0.17400000000000004</v>
      </c>
      <c r="S32" s="28">
        <f t="shared" si="7"/>
        <v>0.15171937869113611</v>
      </c>
      <c r="T32" s="52">
        <f t="shared" si="13"/>
        <v>6.1014770078466896E-3</v>
      </c>
      <c r="U32" s="52">
        <f t="shared" si="14"/>
        <v>-2.2280621308863935E-2</v>
      </c>
      <c r="V32" s="36">
        <f t="shared" si="8"/>
        <v>4.3549999999999867E-2</v>
      </c>
      <c r="W32" s="36">
        <f t="shared" si="9"/>
        <v>-4.3549999999999922E-2</v>
      </c>
      <c r="Y32" s="69"/>
      <c r="AA32" s="36"/>
      <c r="AB32" s="69"/>
      <c r="AC32" s="38"/>
      <c r="AD32" s="1"/>
    </row>
    <row r="33" spans="2:30">
      <c r="B33" s="14">
        <v>60</v>
      </c>
      <c r="C33" s="15">
        <v>40</v>
      </c>
      <c r="D33" s="23">
        <v>0.90100000000000002</v>
      </c>
      <c r="E33" s="34">
        <v>65.53</v>
      </c>
      <c r="G33" s="24">
        <f t="shared" si="0"/>
        <v>0.62314583928800216</v>
      </c>
      <c r="H33" s="23">
        <f t="shared" si="1"/>
        <v>0.37685416071199784</v>
      </c>
      <c r="I33" s="56">
        <f t="shared" si="2"/>
        <v>1032.8870781795049</v>
      </c>
      <c r="J33" s="56">
        <f t="shared" si="3"/>
        <v>192.58554933898941</v>
      </c>
      <c r="K33" s="54">
        <f t="shared" si="10"/>
        <v>747.02731885198784</v>
      </c>
      <c r="L33" s="29"/>
      <c r="N33" s="28">
        <f t="shared" si="11"/>
        <v>0.90100000000000002</v>
      </c>
      <c r="O33" s="28">
        <f t="shared" si="4"/>
        <v>0.85762909104271601</v>
      </c>
      <c r="P33" s="28">
        <f t="shared" si="5"/>
        <v>1.012676081398219</v>
      </c>
      <c r="Q33" s="28">
        <f t="shared" si="6"/>
        <v>1.312118832174157</v>
      </c>
      <c r="R33" s="28">
        <f t="shared" si="12"/>
        <v>9.8999999999999977E-2</v>
      </c>
      <c r="S33" s="28">
        <f t="shared" si="7"/>
        <v>0.12530159165726795</v>
      </c>
      <c r="T33" s="52">
        <f t="shared" si="13"/>
        <v>-4.3370908957284016E-2</v>
      </c>
      <c r="U33" s="52">
        <f t="shared" si="14"/>
        <v>2.6301591657267975E-2</v>
      </c>
      <c r="V33" s="36">
        <f t="shared" si="8"/>
        <v>0.11854999999999993</v>
      </c>
      <c r="W33" s="36">
        <f t="shared" si="9"/>
        <v>-0.11854999999999999</v>
      </c>
      <c r="Y33" s="69"/>
      <c r="AA33" s="36"/>
      <c r="AB33" s="69"/>
      <c r="AC33" s="38"/>
      <c r="AD33" s="1"/>
    </row>
    <row r="34" spans="2:30">
      <c r="B34" s="14">
        <v>61</v>
      </c>
      <c r="C34" s="15">
        <v>39</v>
      </c>
      <c r="D34" s="23">
        <v>0.85399999999999998</v>
      </c>
      <c r="E34" s="34">
        <v>65.25</v>
      </c>
      <c r="G34" s="24">
        <f t="shared" si="0"/>
        <v>0.63292120775294314</v>
      </c>
      <c r="H34" s="23">
        <f t="shared" si="1"/>
        <v>0.36707879224705686</v>
      </c>
      <c r="I34" s="56">
        <f t="shared" si="2"/>
        <v>1023.6962968003699</v>
      </c>
      <c r="J34" s="56">
        <f t="shared" si="3"/>
        <v>190.19397246006497</v>
      </c>
      <c r="K34" s="54">
        <f t="shared" si="10"/>
        <v>746.61112829425326</v>
      </c>
      <c r="L34" s="29"/>
      <c r="N34" s="28">
        <f t="shared" si="11"/>
        <v>0.85399999999999998</v>
      </c>
      <c r="O34" s="28">
        <f t="shared" si="4"/>
        <v>0.86138783097517679</v>
      </c>
      <c r="P34" s="28">
        <f t="shared" si="5"/>
        <v>1.0103958272475164</v>
      </c>
      <c r="Q34" s="28">
        <f t="shared" si="6"/>
        <v>1.3171214043309614</v>
      </c>
      <c r="R34" s="28">
        <f t="shared" si="12"/>
        <v>0.14600000000000002</v>
      </c>
      <c r="S34" s="28">
        <f t="shared" si="7"/>
        <v>0.12099523256989322</v>
      </c>
      <c r="T34" s="52">
        <f t="shared" si="13"/>
        <v>7.3878309751768123E-3</v>
      </c>
      <c r="U34" s="52">
        <f t="shared" si="14"/>
        <v>-2.5004767430106795E-2</v>
      </c>
      <c r="V34" s="36">
        <f t="shared" si="8"/>
        <v>7.1549999999999891E-2</v>
      </c>
      <c r="W34" s="36">
        <f t="shared" si="9"/>
        <v>-7.1549999999999947E-2</v>
      </c>
      <c r="Y34" s="69"/>
      <c r="AA34" s="36"/>
      <c r="AB34" s="69"/>
      <c r="AC34" s="38"/>
      <c r="AD34" s="1"/>
    </row>
    <row r="35" spans="2:30">
      <c r="B35" s="14">
        <v>68</v>
      </c>
      <c r="C35" s="15">
        <v>32</v>
      </c>
      <c r="D35" s="23">
        <v>0.88100000000000001</v>
      </c>
      <c r="E35" s="34">
        <v>63.5</v>
      </c>
      <c r="G35" s="24">
        <f t="shared" si="0"/>
        <v>0.70082489109364088</v>
      </c>
      <c r="H35" s="23">
        <f t="shared" si="1"/>
        <v>0.29917510890635912</v>
      </c>
      <c r="I35" s="56">
        <f t="shared" si="2"/>
        <v>967.69641121498807</v>
      </c>
      <c r="J35" s="56">
        <f t="shared" si="3"/>
        <v>175.80908275029324</v>
      </c>
      <c r="K35" s="54">
        <f t="shared" si="10"/>
        <v>748.59428063128473</v>
      </c>
      <c r="L35" s="29"/>
      <c r="N35" s="28">
        <f t="shared" si="11"/>
        <v>0.88100000000000001</v>
      </c>
      <c r="O35" s="28">
        <f t="shared" si="4"/>
        <v>0.89185409264127236</v>
      </c>
      <c r="P35" s="28">
        <f t="shared" si="5"/>
        <v>0.99944466305274127</v>
      </c>
      <c r="Q35" s="28">
        <f t="shared" si="6"/>
        <v>1.3457844779165884</v>
      </c>
      <c r="R35" s="28">
        <f t="shared" si="12"/>
        <v>0.11899999999999999</v>
      </c>
      <c r="S35" s="28">
        <f t="shared" si="7"/>
        <v>9.313838187357594E-2</v>
      </c>
      <c r="T35" s="52">
        <f t="shared" si="13"/>
        <v>1.085409264127235E-2</v>
      </c>
      <c r="U35" s="52">
        <f t="shared" si="14"/>
        <v>-2.5861618126424055E-2</v>
      </c>
      <c r="V35" s="36">
        <f t="shared" si="8"/>
        <v>9.8549999999999915E-2</v>
      </c>
      <c r="W35" s="36">
        <f t="shared" si="9"/>
        <v>-9.8549999999999971E-2</v>
      </c>
      <c r="Y35" s="69"/>
      <c r="AA35" s="36"/>
      <c r="AB35" s="69"/>
      <c r="AC35" s="38"/>
      <c r="AD35" s="1"/>
    </row>
    <row r="36" spans="2:30">
      <c r="B36" s="14">
        <v>75</v>
      </c>
      <c r="C36" s="15">
        <v>25</v>
      </c>
      <c r="D36" s="23">
        <v>0.95399999999999996</v>
      </c>
      <c r="E36" s="34">
        <v>61.77</v>
      </c>
      <c r="G36" s="24">
        <f t="shared" si="0"/>
        <v>0.76782483028308424</v>
      </c>
      <c r="H36" s="23">
        <f t="shared" si="1"/>
        <v>0.23217516971691576</v>
      </c>
      <c r="I36" s="56">
        <f t="shared" si="2"/>
        <v>914.72853685819177</v>
      </c>
      <c r="J36" s="56">
        <f t="shared" si="3"/>
        <v>162.50596529300785</v>
      </c>
      <c r="K36" s="54">
        <f t="shared" si="10"/>
        <v>750.375320346742</v>
      </c>
      <c r="L36" s="29"/>
      <c r="N36" s="28">
        <f t="shared" si="11"/>
        <v>0.95399999999999996</v>
      </c>
      <c r="O36" s="28">
        <f t="shared" si="4"/>
        <v>0.91976994749660657</v>
      </c>
      <c r="P36" s="28">
        <f t="shared" si="5"/>
        <v>0.99526430213964157</v>
      </c>
      <c r="Q36" s="28">
        <f t="shared" si="6"/>
        <v>1.3609956082901082</v>
      </c>
      <c r="R36" s="28">
        <f t="shared" si="12"/>
        <v>4.6000000000000041E-2</v>
      </c>
      <c r="S36" s="28">
        <f t="shared" si="7"/>
        <v>6.7566000328053918E-2</v>
      </c>
      <c r="T36" s="52">
        <f t="shared" si="13"/>
        <v>-3.4230052503393393E-2</v>
      </c>
      <c r="U36" s="52">
        <f t="shared" si="14"/>
        <v>2.1566000328053878E-2</v>
      </c>
      <c r="V36" s="36">
        <f t="shared" si="8"/>
        <v>0.17154999999999987</v>
      </c>
      <c r="W36" s="36">
        <f t="shared" si="9"/>
        <v>-0.17154999999999992</v>
      </c>
      <c r="Y36" s="69"/>
      <c r="AA36" s="36"/>
      <c r="AB36" s="69"/>
      <c r="AC36" s="38"/>
      <c r="AD36" s="1"/>
    </row>
    <row r="37" spans="2:30">
      <c r="B37" s="14">
        <v>79</v>
      </c>
      <c r="C37" s="15">
        <v>21</v>
      </c>
      <c r="D37" s="23">
        <v>0.91600000000000004</v>
      </c>
      <c r="E37" s="34">
        <v>60.81</v>
      </c>
      <c r="G37" s="24">
        <f t="shared" si="0"/>
        <v>0.80571166418167217</v>
      </c>
      <c r="H37" s="23">
        <f t="shared" si="1"/>
        <v>0.19428833581832783</v>
      </c>
      <c r="I37" s="56">
        <f t="shared" si="2"/>
        <v>886.33558981884187</v>
      </c>
      <c r="J37" s="56">
        <f t="shared" si="3"/>
        <v>155.49970825183578</v>
      </c>
      <c r="K37" s="54">
        <f t="shared" si="10"/>
        <v>751.68262230928485</v>
      </c>
      <c r="L37" s="29"/>
      <c r="N37" s="28">
        <f t="shared" si="11"/>
        <v>0.91600000000000004</v>
      </c>
      <c r="O37" s="28">
        <f t="shared" si="4"/>
        <v>0.93489274164552327</v>
      </c>
      <c r="P37" s="28">
        <f t="shared" si="5"/>
        <v>0.99494148855769704</v>
      </c>
      <c r="Q37" s="28">
        <f t="shared" si="6"/>
        <v>1.3625194970384373</v>
      </c>
      <c r="R37" s="28">
        <f t="shared" si="12"/>
        <v>8.3999999999999964E-2</v>
      </c>
      <c r="S37" s="28">
        <f t="shared" si="7"/>
        <v>5.4163340340377959E-2</v>
      </c>
      <c r="T37" s="52">
        <f t="shared" si="13"/>
        <v>1.8892741645523237E-2</v>
      </c>
      <c r="U37" s="52">
        <f t="shared" si="14"/>
        <v>-2.9836659659622004E-2</v>
      </c>
      <c r="V37" s="36">
        <f t="shared" si="8"/>
        <v>0.13354999999999995</v>
      </c>
      <c r="W37" s="36">
        <f t="shared" si="9"/>
        <v>-0.13355</v>
      </c>
      <c r="Y37" s="69"/>
      <c r="AA37" s="36"/>
      <c r="AB37" s="69"/>
      <c r="AC37" s="38"/>
      <c r="AD37" s="1"/>
    </row>
    <row r="38" spans="2:30">
      <c r="B38" s="14">
        <v>82</v>
      </c>
      <c r="C38" s="15">
        <v>18</v>
      </c>
      <c r="D38" s="23">
        <v>0.92600000000000005</v>
      </c>
      <c r="E38" s="34">
        <v>60.15</v>
      </c>
      <c r="G38" s="24">
        <f t="shared" si="0"/>
        <v>0.83393894822788883</v>
      </c>
      <c r="H38" s="23">
        <f t="shared" si="1"/>
        <v>0.16606105177211117</v>
      </c>
      <c r="I38" s="56">
        <f t="shared" si="2"/>
        <v>867.22114997235678</v>
      </c>
      <c r="J38" s="56">
        <f t="shared" si="3"/>
        <v>150.833142268133</v>
      </c>
      <c r="K38" s="54">
        <f t="shared" si="10"/>
        <v>753.91215972252371</v>
      </c>
      <c r="L38" s="29"/>
      <c r="N38" s="28">
        <f t="shared" si="11"/>
        <v>0.92600000000000005</v>
      </c>
      <c r="O38" s="28">
        <f t="shared" si="4"/>
        <v>0.94717132492449929</v>
      </c>
      <c r="P38" s="28">
        <f t="shared" si="5"/>
        <v>0.99535502952377874</v>
      </c>
      <c r="Q38" s="28">
        <f t="shared" si="6"/>
        <v>1.3598937556596198</v>
      </c>
      <c r="R38" s="28">
        <f t="shared" si="12"/>
        <v>7.3999999999999955E-2</v>
      </c>
      <c r="S38" s="28">
        <f t="shared" si="7"/>
        <v>4.4818358920926553E-2</v>
      </c>
      <c r="T38" s="52">
        <f t="shared" si="13"/>
        <v>2.1171324924499246E-2</v>
      </c>
      <c r="U38" s="52">
        <f t="shared" si="14"/>
        <v>-2.9181641079073402E-2</v>
      </c>
      <c r="V38" s="36">
        <f t="shared" si="8"/>
        <v>0.14354999999999996</v>
      </c>
      <c r="W38" s="36">
        <f t="shared" si="9"/>
        <v>-0.14355000000000001</v>
      </c>
      <c r="Y38" s="69"/>
      <c r="AA38" s="36"/>
      <c r="AB38" s="69"/>
      <c r="AC38" s="38"/>
      <c r="AD38" s="1"/>
    </row>
    <row r="39" spans="2:30">
      <c r="B39" s="14">
        <v>89</v>
      </c>
      <c r="C39" s="15">
        <v>11</v>
      </c>
      <c r="D39" s="23">
        <v>0.94399999999999995</v>
      </c>
      <c r="E39" s="34">
        <v>58.55</v>
      </c>
      <c r="G39" s="24">
        <f t="shared" si="0"/>
        <v>0.89918469702148596</v>
      </c>
      <c r="H39" s="23">
        <f t="shared" si="1"/>
        <v>0.10081530297851404</v>
      </c>
      <c r="I39" s="56">
        <f t="shared" si="2"/>
        <v>822.22891362040116</v>
      </c>
      <c r="J39" s="56">
        <f t="shared" si="3"/>
        <v>140.01139056028197</v>
      </c>
      <c r="K39" s="54">
        <f t="shared" si="10"/>
        <v>756.38996435959757</v>
      </c>
      <c r="L39" s="29"/>
      <c r="N39" s="28">
        <f t="shared" si="11"/>
        <v>0.94399999999999995</v>
      </c>
      <c r="O39" s="28">
        <f t="shared" si="4"/>
        <v>0.97035572057490105</v>
      </c>
      <c r="P39" s="28">
        <f t="shared" si="5"/>
        <v>0.99747704723483832</v>
      </c>
      <c r="Q39" s="28">
        <f t="shared" si="6"/>
        <v>1.3403632305318909</v>
      </c>
      <c r="R39" s="28">
        <f t="shared" si="12"/>
        <v>5.600000000000005E-2</v>
      </c>
      <c r="S39" s="28">
        <f t="shared" si="7"/>
        <v>2.4894232529832683E-2</v>
      </c>
      <c r="T39" s="52">
        <f t="shared" si="13"/>
        <v>2.6355720574901098E-2</v>
      </c>
      <c r="U39" s="52">
        <f t="shared" si="14"/>
        <v>-3.1105767470167366E-2</v>
      </c>
      <c r="V39" s="36">
        <f t="shared" si="8"/>
        <v>0.16154999999999986</v>
      </c>
      <c r="W39" s="36">
        <f t="shared" si="9"/>
        <v>-0.16154999999999992</v>
      </c>
      <c r="Y39" s="69"/>
      <c r="AA39" s="36"/>
      <c r="AB39" s="69"/>
      <c r="AC39" s="38"/>
      <c r="AD39" s="1"/>
    </row>
    <row r="40" spans="2:30" ht="15" thickBot="1">
      <c r="B40" s="31">
        <v>96</v>
      </c>
      <c r="C40" s="26">
        <v>4</v>
      </c>
      <c r="D40" s="18">
        <v>0.98</v>
      </c>
      <c r="E40" s="20">
        <v>57.05</v>
      </c>
      <c r="G40" s="25">
        <f t="shared" si="0"/>
        <v>0.96357907330287784</v>
      </c>
      <c r="H40" s="18">
        <f t="shared" si="1"/>
        <v>3.6420926697122158E-2</v>
      </c>
      <c r="I40" s="19">
        <f t="shared" si="2"/>
        <v>781.74019789341548</v>
      </c>
      <c r="J40" s="19">
        <f t="shared" si="3"/>
        <v>130.47279887448369</v>
      </c>
      <c r="K40" s="54">
        <f t="shared" si="10"/>
        <v>759.12525971175762</v>
      </c>
      <c r="L40" s="29"/>
      <c r="N40" s="28">
        <f t="shared" si="11"/>
        <v>0.98</v>
      </c>
      <c r="O40" s="28">
        <f t="shared" si="4"/>
        <v>0.9907126480185583</v>
      </c>
      <c r="P40" s="28">
        <f t="shared" si="5"/>
        <v>0.99956604722271558</v>
      </c>
      <c r="Q40" s="28">
        <f t="shared" si="6"/>
        <v>1.3012889262975524</v>
      </c>
      <c r="R40" s="28">
        <f t="shared" si="12"/>
        <v>2.0000000000000018E-2</v>
      </c>
      <c r="S40" s="28">
        <f t="shared" si="7"/>
        <v>8.1363779179648849E-3</v>
      </c>
      <c r="T40" s="52">
        <f t="shared" si="13"/>
        <v>1.0712648018558313E-2</v>
      </c>
      <c r="U40" s="52">
        <f t="shared" si="14"/>
        <v>-1.1863622082035133E-2</v>
      </c>
      <c r="V40" s="36">
        <f t="shared" si="8"/>
        <v>0.19754999999999989</v>
      </c>
      <c r="W40" s="36">
        <f t="shared" si="9"/>
        <v>-0.19754999999999995</v>
      </c>
      <c r="Y40" s="69"/>
      <c r="AA40" s="36"/>
      <c r="AB40" s="69"/>
      <c r="AC40" s="38"/>
      <c r="AD40" s="1"/>
    </row>
    <row r="41" spans="2:30" ht="15" thickBot="1">
      <c r="B41" s="38"/>
      <c r="C41" s="38"/>
      <c r="D41" s="36"/>
      <c r="E41" s="38"/>
      <c r="G41" s="36">
        <v>1</v>
      </c>
      <c r="H41" s="36"/>
      <c r="I41" s="37"/>
      <c r="J41" s="37"/>
      <c r="K41" s="37"/>
      <c r="L41" s="36"/>
      <c r="N41" s="36"/>
      <c r="O41" s="36">
        <v>1</v>
      </c>
      <c r="P41" s="36"/>
      <c r="Q41" s="36"/>
      <c r="R41" s="36"/>
      <c r="S41" s="36"/>
      <c r="T41" s="52"/>
      <c r="U41" s="52"/>
      <c r="V41" s="36"/>
      <c r="W41" s="36"/>
    </row>
    <row r="42" spans="2:30" ht="15" thickBot="1">
      <c r="B42" s="39"/>
      <c r="S42" s="5" t="s">
        <v>26</v>
      </c>
      <c r="T42" s="72">
        <f>SUMSQ(T21:T40)</f>
        <v>1.9630904552311229E-2</v>
      </c>
      <c r="U42" s="72">
        <f>SUMSQ(U21:U40)</f>
        <v>1.2703774147430198E-2</v>
      </c>
      <c r="V42" s="86" t="s">
        <v>54</v>
      </c>
      <c r="W42" s="87"/>
      <c r="X42" s="47"/>
    </row>
    <row r="43" spans="2:30" ht="17" thickBot="1">
      <c r="B43" s="42" t="s">
        <v>11</v>
      </c>
      <c r="C43" s="43"/>
      <c r="M43" s="5" t="s">
        <v>65</v>
      </c>
      <c r="N43" s="71">
        <f>SUM(N21:N40)/20</f>
        <v>0.78245000000000009</v>
      </c>
      <c r="Q43" s="5" t="s">
        <v>66</v>
      </c>
      <c r="R43" s="71">
        <f>SUM(R21:R40)/20</f>
        <v>0.21754999999999997</v>
      </c>
      <c r="V43" s="36">
        <f>SUMSQ(V21:V40)/(N-1)</f>
        <v>2.9780786842105268E-2</v>
      </c>
      <c r="W43" s="36">
        <f>SUMSQ(W21:W40)/19</f>
        <v>2.9780786842105268E-2</v>
      </c>
    </row>
    <row r="44" spans="2:30" ht="17" thickBot="1">
      <c r="B44" s="7" t="s">
        <v>12</v>
      </c>
      <c r="C44" s="9" t="s">
        <v>13</v>
      </c>
      <c r="G44" s="1"/>
      <c r="H44" s="1"/>
      <c r="I44" s="1"/>
      <c r="J44" s="1"/>
      <c r="S44" s="53"/>
      <c r="T44" s="78">
        <f>T42+U42</f>
        <v>3.2334678699741423E-2</v>
      </c>
      <c r="U44" s="79" t="s">
        <v>61</v>
      </c>
      <c r="V44" s="80">
        <f>SUMSQ(V21:V40)</f>
        <v>0.56583495000000006</v>
      </c>
    </row>
    <row r="45" spans="2:30" ht="17" thickBot="1">
      <c r="B45" s="40">
        <v>0</v>
      </c>
      <c r="C45" s="41">
        <v>0</v>
      </c>
      <c r="H45" s="44"/>
      <c r="I45" s="36"/>
      <c r="U45" s="81" t="s">
        <v>62</v>
      </c>
      <c r="V45" s="82">
        <f>1-SS/SSmean</f>
        <v>0.96530630610160928</v>
      </c>
    </row>
    <row r="46" spans="2:30" ht="15" thickBot="1">
      <c r="B46" s="2">
        <v>1</v>
      </c>
      <c r="C46" s="4">
        <v>1</v>
      </c>
      <c r="H46" s="44"/>
      <c r="I46" s="36"/>
    </row>
    <row r="47" spans="2:30">
      <c r="H47" s="44"/>
      <c r="I47" s="36"/>
    </row>
    <row r="48" spans="2:30">
      <c r="G48" s="44"/>
      <c r="H48" s="44"/>
      <c r="I48" s="36"/>
    </row>
    <row r="49" spans="7:9">
      <c r="G49" s="44"/>
      <c r="H49" s="44"/>
      <c r="I49" s="36"/>
    </row>
    <row r="50" spans="7:9">
      <c r="G50" s="44"/>
      <c r="H50" s="44"/>
      <c r="I50" s="36"/>
    </row>
    <row r="51" spans="7:9">
      <c r="G51" s="44"/>
      <c r="H51" s="44"/>
      <c r="I51" s="36"/>
    </row>
    <row r="52" spans="7:9">
      <c r="G52" s="44"/>
      <c r="H52" s="44"/>
      <c r="I52" s="36"/>
    </row>
    <row r="53" spans="7:9">
      <c r="G53" s="44"/>
      <c r="H53" s="44"/>
      <c r="I53" s="36"/>
    </row>
    <row r="54" spans="7:9">
      <c r="G54" s="44"/>
      <c r="H54" s="44"/>
      <c r="I54" s="36"/>
    </row>
    <row r="55" spans="7:9">
      <c r="G55" s="44"/>
      <c r="H55" s="44"/>
      <c r="I55" s="36"/>
    </row>
    <row r="56" spans="7:9">
      <c r="G56" s="44"/>
      <c r="H56" s="44"/>
      <c r="I56" s="36"/>
    </row>
    <row r="57" spans="7:9">
      <c r="G57" s="44"/>
      <c r="H57" s="44"/>
      <c r="I57" s="36"/>
    </row>
    <row r="58" spans="7:9">
      <c r="G58" s="44"/>
      <c r="H58" s="44"/>
      <c r="I58" s="36"/>
    </row>
    <row r="59" spans="7:9">
      <c r="G59" s="44"/>
      <c r="H59" s="44"/>
      <c r="I59" s="36"/>
    </row>
    <row r="60" spans="7:9">
      <c r="G60" s="44"/>
      <c r="H60" s="44"/>
      <c r="I60" s="36"/>
    </row>
    <row r="61" spans="7:9">
      <c r="G61" s="44"/>
      <c r="H61" s="44"/>
      <c r="I61" s="36"/>
    </row>
    <row r="62" spans="7:9">
      <c r="G62" s="44"/>
      <c r="H62" s="44"/>
      <c r="I62" s="36"/>
    </row>
    <row r="63" spans="7:9">
      <c r="G63" s="44"/>
      <c r="H63" s="44"/>
      <c r="I63" s="36"/>
    </row>
    <row r="64" spans="7:9">
      <c r="G64" s="44"/>
      <c r="H64" s="44"/>
      <c r="I64" s="36"/>
    </row>
    <row r="65" spans="3:9">
      <c r="G65" s="44"/>
      <c r="H65" s="44"/>
      <c r="I65" s="36"/>
    </row>
    <row r="66" spans="3:9">
      <c r="G66" s="44"/>
      <c r="H66" s="44"/>
      <c r="I66" s="36"/>
    </row>
    <row r="67" spans="3:9">
      <c r="G67" s="44"/>
      <c r="H67" s="44"/>
      <c r="I67" s="36"/>
    </row>
    <row r="68" spans="3:9">
      <c r="G68" s="44"/>
      <c r="H68" s="44"/>
      <c r="I68" s="36"/>
    </row>
    <row r="69" spans="3:9">
      <c r="G69" s="44"/>
      <c r="H69" s="44"/>
      <c r="I69" s="36"/>
    </row>
    <row r="70" spans="3:9">
      <c r="G70" s="44"/>
      <c r="H70" s="44"/>
      <c r="I70" s="36"/>
    </row>
    <row r="71" spans="3:9">
      <c r="C71" s="57"/>
      <c r="G71" s="44"/>
      <c r="H71" s="44"/>
      <c r="I71" s="36"/>
    </row>
    <row r="72" spans="3:9">
      <c r="C72" s="57"/>
      <c r="G72" s="44"/>
      <c r="H72" s="44"/>
      <c r="I72" s="36"/>
    </row>
    <row r="73" spans="3:9">
      <c r="C73" s="57"/>
      <c r="G73" s="44"/>
      <c r="H73" s="44"/>
      <c r="I73" s="36"/>
    </row>
    <row r="74" spans="3:9">
      <c r="G74" s="44"/>
      <c r="H74" s="44"/>
      <c r="I74" s="36"/>
    </row>
    <row r="75" spans="3:9">
      <c r="G75" s="44"/>
      <c r="H75" s="44"/>
      <c r="I75" s="36"/>
    </row>
    <row r="76" spans="3:9">
      <c r="G76" s="44"/>
      <c r="H76" s="44"/>
      <c r="I76" s="36"/>
    </row>
    <row r="77" spans="3:9">
      <c r="G77" s="44"/>
      <c r="H77" s="44"/>
      <c r="I77" s="36"/>
    </row>
    <row r="78" spans="3:9">
      <c r="G78" s="44"/>
      <c r="H78" s="44"/>
      <c r="I78" s="36"/>
    </row>
    <row r="79" spans="3:9">
      <c r="G79" s="44"/>
      <c r="H79" s="44"/>
      <c r="I79" s="36"/>
    </row>
    <row r="80" spans="3:9">
      <c r="G80" s="44"/>
      <c r="H80" s="44"/>
      <c r="I80" s="36"/>
    </row>
    <row r="81" spans="7:9">
      <c r="G81" s="44"/>
      <c r="H81" s="44"/>
      <c r="I81" s="36"/>
    </row>
    <row r="82" spans="7:9">
      <c r="G82" s="44"/>
      <c r="H82" s="44"/>
      <c r="I82" s="36"/>
    </row>
    <row r="83" spans="7:9">
      <c r="G83" s="44"/>
      <c r="H83" s="44"/>
      <c r="I83" s="36"/>
    </row>
    <row r="84" spans="7:9">
      <c r="G84" s="44"/>
      <c r="H84" s="44"/>
      <c r="I84" s="36"/>
    </row>
    <row r="85" spans="7:9">
      <c r="G85" s="44"/>
      <c r="H85" s="44"/>
      <c r="I85" s="36"/>
    </row>
    <row r="86" spans="7:9">
      <c r="G86" s="44"/>
      <c r="H86" s="44"/>
      <c r="I86" s="36"/>
    </row>
    <row r="87" spans="7:9">
      <c r="G87" s="44"/>
      <c r="H87" s="44"/>
      <c r="I87" s="36"/>
    </row>
    <row r="88" spans="7:9">
      <c r="G88" s="44"/>
      <c r="H88" s="44"/>
      <c r="I88" s="36"/>
    </row>
    <row r="89" spans="7:9">
      <c r="G89" s="44"/>
      <c r="H89" s="44"/>
      <c r="I89" s="36"/>
    </row>
    <row r="90" spans="7:9">
      <c r="G90" s="44"/>
      <c r="H90" s="44"/>
      <c r="I90" s="36"/>
    </row>
    <row r="91" spans="7:9">
      <c r="G91" s="44"/>
      <c r="H91" s="44"/>
      <c r="I91" s="36"/>
    </row>
    <row r="92" spans="7:9">
      <c r="G92" s="44"/>
      <c r="H92" s="44"/>
      <c r="I92" s="36"/>
    </row>
    <row r="93" spans="7:9">
      <c r="G93" s="44"/>
      <c r="H93" s="44"/>
      <c r="I93" s="36"/>
    </row>
    <row r="94" spans="7:9">
      <c r="G94" s="44"/>
      <c r="H94" s="44"/>
      <c r="I94" s="36"/>
    </row>
    <row r="95" spans="7:9">
      <c r="G95" s="44"/>
      <c r="H95" s="44"/>
      <c r="I95" s="36"/>
    </row>
  </sheetData>
  <mergeCells count="5">
    <mergeCell ref="V42:W42"/>
    <mergeCell ref="B18:E18"/>
    <mergeCell ref="G18:L18"/>
    <mergeCell ref="B11:B12"/>
    <mergeCell ref="B8:B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NLR of VLE data</vt:lpstr>
      <vt:lpstr>A12x</vt:lpstr>
      <vt:lpstr>A21x</vt:lpstr>
      <vt:lpstr>df</vt:lpstr>
      <vt:lpstr>N</vt:lpstr>
      <vt:lpstr>P</vt:lpstr>
      <vt:lpstr>Pm</vt:lpstr>
      <vt:lpstr>SS</vt:lpstr>
      <vt:lpstr>SSmean</vt:lpstr>
      <vt:lpstr>yAavg</vt:lpstr>
      <vt:lpstr>yBavg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Hendren</dc:creator>
  <cp:lastModifiedBy>John L Falconer</cp:lastModifiedBy>
  <cp:lastPrinted>2023-03-18T23:26:54Z</cp:lastPrinted>
  <dcterms:created xsi:type="dcterms:W3CDTF">2023-02-25T00:19:31Z</dcterms:created>
  <dcterms:modified xsi:type="dcterms:W3CDTF">2023-03-20T19:20:33Z</dcterms:modified>
</cp:coreProperties>
</file>