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lconer\Dropbox\@@Active\Chemical equilibrium\"/>
    </mc:Choice>
  </mc:AlternateContent>
  <bookViews>
    <workbookView xWindow="10245" yWindow="0" windowWidth="19920" windowHeight="12195"/>
  </bookViews>
  <sheets>
    <sheet name="Sheet1" sheetId="1" r:id="rId1"/>
  </sheets>
  <definedNames>
    <definedName name="ntot">Sheet1!$G$7</definedName>
    <definedName name="P">Sheet1!$B$11</definedName>
    <definedName name="Rg">Sheet1!$B$8</definedName>
    <definedName name="solver_adj" localSheetId="0" hidden="1">Sheet1!$G$9:$G$12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Sheet1!$G$11</definedName>
    <definedName name="solver_lhs2" localSheetId="0" hidden="1">Sheet1!$G$12</definedName>
    <definedName name="solver_lhs3" localSheetId="0" hidden="1">Sheet1!$G$9</definedName>
    <definedName name="solver_lhs4" localSheetId="0" hidden="1">Sheet1!$G$10</definedName>
    <definedName name="solver_lhs5" localSheetId="0" hidden="1">Sheet1!$O$11</definedName>
    <definedName name="solver_lhs6" localSheetId="0" hidden="1">Sheet1!$O$10</definedName>
    <definedName name="solver_lhs7" localSheetId="0" hidden="1">Sheet1!$O$9</definedName>
    <definedName name="solver_lhs8" localSheetId="0" hidden="1">Sheet1!$O$11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7</definedName>
    <definedName name="solver_nwt" localSheetId="0" hidden="1">1</definedName>
    <definedName name="solver_opt" localSheetId="0" hidden="1">Sheet1!$J$7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el5" localSheetId="0" hidden="1">2</definedName>
    <definedName name="solver_rel6" localSheetId="0" hidden="1">2</definedName>
    <definedName name="solver_rel7" localSheetId="0" hidden="1">2</definedName>
    <definedName name="solver_rel8" localSheetId="0" hidden="1">2</definedName>
    <definedName name="solver_rhs1" localSheetId="0" hidden="1">0.000000000001</definedName>
    <definedName name="solver_rhs2" localSheetId="0" hidden="1">0.000000000001</definedName>
    <definedName name="solver_rhs3" localSheetId="0" hidden="1">0.000000000001</definedName>
    <definedName name="solver_rhs4" localSheetId="0" hidden="1">0.000000000001</definedName>
    <definedName name="solver_rhs5" localSheetId="0" hidden="1">0</definedName>
    <definedName name="solver_rhs6" localSheetId="0" hidden="1">0</definedName>
    <definedName name="solver_rhs7" localSheetId="0" hidden="1">0</definedName>
    <definedName name="solver_rhs8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  <definedName name="T">Sheet1!$B$9</definedName>
    <definedName name="TR">Sheet1!$B$10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0" i="1" l="1"/>
  <c r="H50" i="1" l="1"/>
  <c r="G7" i="1"/>
  <c r="H11" i="1" s="1"/>
  <c r="I11" i="1" s="1"/>
  <c r="H10" i="1" l="1"/>
  <c r="I10" i="1" s="1"/>
  <c r="H9" i="1"/>
  <c r="I9" i="1" s="1"/>
  <c r="H12" i="1"/>
  <c r="I12" i="1" s="1"/>
  <c r="J12" i="1" s="1"/>
  <c r="Q29" i="1"/>
  <c r="C43" i="1"/>
  <c r="C44" i="1"/>
  <c r="C45" i="1"/>
  <c r="C42" i="1"/>
  <c r="C29" i="1"/>
  <c r="C30" i="1"/>
  <c r="C31" i="1"/>
  <c r="C32" i="1"/>
  <c r="Q31" i="1" l="1"/>
  <c r="Q30" i="1"/>
  <c r="O32" i="1"/>
  <c r="P32" i="1" s="1"/>
  <c r="R32" i="1" s="1"/>
  <c r="N11" i="1" l="1"/>
  <c r="N10" i="1"/>
  <c r="N9" i="1"/>
  <c r="M11" i="1"/>
  <c r="O11" i="1" s="1"/>
  <c r="M10" i="1"/>
  <c r="O10" i="1" s="1"/>
  <c r="M9" i="1"/>
  <c r="O9" i="1" s="1"/>
  <c r="M31" i="1"/>
  <c r="L31" i="1"/>
  <c r="O31" i="1" s="1"/>
  <c r="P31" i="1" s="1"/>
  <c r="R31" i="1" s="1"/>
  <c r="K31" i="1"/>
  <c r="J31" i="1"/>
  <c r="M30" i="1"/>
  <c r="L30" i="1"/>
  <c r="K30" i="1"/>
  <c r="J30" i="1"/>
  <c r="M29" i="1"/>
  <c r="L29" i="1"/>
  <c r="K29" i="1"/>
  <c r="J29" i="1"/>
  <c r="E11" i="1" l="1"/>
  <c r="J11" i="1" s="1"/>
  <c r="O29" i="1"/>
  <c r="P29" i="1" s="1"/>
  <c r="O30" i="1"/>
  <c r="P30" i="1" s="1"/>
  <c r="T31" i="1"/>
  <c r="S31" i="1"/>
  <c r="S32" i="1"/>
  <c r="R30" i="1" l="1"/>
  <c r="T30" i="1" s="1"/>
  <c r="E10" i="1"/>
  <c r="J10" i="1" s="1"/>
  <c r="R29" i="1"/>
  <c r="E9" i="1"/>
  <c r="J9" i="1" s="1"/>
  <c r="S30" i="1"/>
  <c r="S29" i="1"/>
  <c r="T29" i="1" l="1"/>
  <c r="F50" i="1"/>
  <c r="D50" i="1"/>
  <c r="J7" i="1"/>
  <c r="E50" i="1" l="1"/>
  <c r="G50" i="1"/>
</calcChain>
</file>

<file path=xl/comments1.xml><?xml version="1.0" encoding="utf-8"?>
<comments xmlns="http://schemas.openxmlformats.org/spreadsheetml/2006/main">
  <authors>
    <author>John L Falconer</author>
  </authors>
  <commentList>
    <comment ref="J7" authorId="0" shapeId="0">
      <text>
        <r>
          <rPr>
            <sz val="9"/>
            <color indexed="81"/>
            <rFont val="Tahoma"/>
            <family val="2"/>
          </rPr>
          <t>This value is minimized in Solver to determine equilibrium compositions by varying the moles out (Cells G9-G12).</t>
        </r>
      </text>
    </comment>
    <comment ref="B8" authorId="0" shapeId="0">
      <text>
        <r>
          <rPr>
            <sz val="9"/>
            <color indexed="81"/>
            <rFont val="Tahoma"/>
            <family val="2"/>
          </rPr>
          <t>Ideal gas constant</t>
        </r>
      </text>
    </comment>
    <comment ref="E8" authorId="0" shapeId="0">
      <text>
        <r>
          <rPr>
            <sz val="9"/>
            <color indexed="81"/>
            <rFont val="Tahoma"/>
            <family val="2"/>
          </rPr>
          <t>Gibbs free energy of formation at temperature T (Cell B9) divided by RT</t>
        </r>
      </text>
    </comment>
    <comment ref="F8" authorId="0" shapeId="0">
      <text>
        <r>
          <rPr>
            <sz val="9"/>
            <color indexed="81"/>
            <rFont val="Tahoma"/>
            <family val="2"/>
          </rPr>
          <t>Moles fed to the system.</t>
        </r>
      </text>
    </comment>
    <comment ref="G8" authorId="0" shapeId="0">
      <text>
        <r>
          <rPr>
            <sz val="9"/>
            <color indexed="81"/>
            <rFont val="Tahoma"/>
            <family val="2"/>
          </rPr>
          <t>Equilbrium moles when nG is minimized,</t>
        </r>
      </text>
    </comment>
    <comment ref="H8" authorId="0" shapeId="0">
      <text>
        <r>
          <rPr>
            <sz val="9"/>
            <color indexed="81"/>
            <rFont val="Tahoma"/>
            <family val="2"/>
          </rPr>
          <t xml:space="preserve">Equilibrium mole fractions when nG/RT minimized,.
</t>
        </r>
      </text>
    </comment>
    <comment ref="O8" authorId="0" shapeId="0">
      <text>
        <r>
          <rPr>
            <sz val="9"/>
            <color indexed="81"/>
            <rFont val="Tahoma"/>
            <family val="2"/>
          </rPr>
          <t>moles of carbon atoms in - moles of carbon atom out =0 (Likewiise for H and O)</t>
        </r>
      </text>
    </comment>
    <comment ref="E27" authorId="0" shapeId="0">
      <text>
        <r>
          <rPr>
            <sz val="9"/>
            <color indexed="81"/>
            <rFont val="Tahoma"/>
            <family val="2"/>
          </rPr>
          <t>Heat capacity :
Cp = A + BT +CT^2 + DT^3</t>
        </r>
      </text>
    </comment>
    <comment ref="J27" authorId="0" shapeId="0">
      <text>
        <r>
          <rPr>
            <sz val="9"/>
            <color indexed="81"/>
            <rFont val="Tahoma"/>
            <family val="2"/>
          </rPr>
          <t xml:space="preserve">Cp of molecule minus Cp of elements (times stoichiometric coefficents) in formation reaction . e.g.,  for CO,
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Cp = Cp(CO)-Cp(C)-0.5Cp(O2)</t>
        </r>
      </text>
    </comment>
    <comment ref="C28" authorId="0" shapeId="0">
      <text>
        <r>
          <rPr>
            <sz val="9"/>
            <color indexed="81"/>
            <rFont val="Tahoma"/>
            <family val="2"/>
          </rPr>
          <t>Heat capacity of molecules evaluated at temperature T (Cell B9)</t>
        </r>
      </text>
    </comment>
    <comment ref="N28" authorId="0" shapeId="0">
      <text>
        <r>
          <rPr>
            <sz val="9"/>
            <color indexed="81"/>
            <rFont val="Tahoma"/>
            <family val="2"/>
          </rPr>
          <t xml:space="preserve">These heat of formation at 298 K are from a table.
</t>
        </r>
      </text>
    </comment>
    <comment ref="O28" authorId="0" shapeId="0">
      <text>
        <r>
          <rPr>
            <sz val="9"/>
            <color indexed="81"/>
            <rFont val="Tahoma"/>
            <family val="2"/>
          </rPr>
          <t>J is defined in the text box of equations below. Heat capacity terms divided by 1,000 to convert from J to kJ.</t>
        </r>
      </text>
    </comment>
    <comment ref="P28" authorId="0" shapeId="0">
      <text>
        <r>
          <rPr>
            <sz val="9"/>
            <color indexed="81"/>
            <rFont val="Tahoma"/>
            <family val="2"/>
          </rPr>
          <t>I is defined in the text box of equations below. Heat capacity terms divided by 1,000 to convert from J to kJ.</t>
        </r>
      </text>
    </comment>
    <comment ref="R28" authorId="0" shapeId="0">
      <text>
        <r>
          <rPr>
            <sz val="9"/>
            <color indexed="81"/>
            <rFont val="Tahoma"/>
            <family val="2"/>
          </rPr>
          <t>Heat capacity terms in formula were divided by 1,000 to convert from J to kJ.</t>
        </r>
      </text>
    </comment>
    <comment ref="S28" authorId="0" shapeId="0">
      <text>
        <r>
          <rPr>
            <sz val="9"/>
            <color indexed="81"/>
            <rFont val="Tahoma"/>
            <family val="2"/>
          </rPr>
          <t>Heat of formation at temperature T (Cell B9). Heat capacity terms in formula were divided by 1,000 to convert from J to kJ.</t>
        </r>
      </text>
    </comment>
    <comment ref="T28" authorId="0" shapeId="0">
      <text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G of formation at temperature T (Cell B9)</t>
        </r>
      </text>
    </comment>
    <comment ref="U28" authorId="0" shapeId="0">
      <text>
        <r>
          <rPr>
            <sz val="9"/>
            <color indexed="81"/>
            <rFont val="Tahoma"/>
            <family val="2"/>
          </rPr>
          <t>Gibbs free energy of formation  at 298 K (from a table).</t>
        </r>
      </text>
    </comment>
    <comment ref="E40" authorId="0" shapeId="0">
      <text>
        <r>
          <rPr>
            <sz val="9"/>
            <color indexed="81"/>
            <rFont val="Tahoma"/>
            <family val="2"/>
          </rPr>
          <t>Heat capacity :
Cp = A + BT +CT^2 + DT^3</t>
        </r>
      </text>
    </comment>
    <comment ref="C41" authorId="0" shapeId="0">
      <text>
        <r>
          <rPr>
            <sz val="9"/>
            <color indexed="81"/>
            <rFont val="Tahoma"/>
            <family val="2"/>
          </rPr>
          <t>Heat capacity of elements at temperature T (Cell B9)</t>
        </r>
      </text>
    </comment>
    <comment ref="D49" authorId="0" shapeId="0">
      <text>
        <r>
          <rPr>
            <sz val="9"/>
            <color indexed="81"/>
            <rFont val="Tahoma"/>
            <family val="2"/>
          </rPr>
          <t>Heats of reaction for the water-gas shift reaction</t>
        </r>
      </text>
    </comment>
    <comment ref="E49" authorId="0" shapeId="0">
      <text>
        <r>
          <rPr>
            <sz val="9"/>
            <color indexed="81"/>
            <rFont val="Tahoma"/>
            <family val="2"/>
          </rPr>
          <t xml:space="preserve">Gibbs free energy change for the water-gas shift reaction </t>
        </r>
      </text>
    </comment>
    <comment ref="G49" authorId="0" shapeId="0">
      <text>
        <r>
          <rPr>
            <sz val="9"/>
            <color indexed="81"/>
            <rFont val="Tahoma"/>
            <family val="2"/>
          </rPr>
          <t>Equilibrium constant for the water-gas shift reaction  calculated from the Gibbs free energy change.</t>
        </r>
      </text>
    </comment>
    <comment ref="H49" authorId="0" shapeId="0">
      <text>
        <r>
          <rPr>
            <sz val="9"/>
            <color indexed="81"/>
            <rFont val="Tahoma"/>
            <family val="2"/>
          </rPr>
          <t>Equilibrium constant for the water-gas shift reaction from an equation in Wikipedia</t>
        </r>
      </text>
    </comment>
    <comment ref="D59" authorId="0" shapeId="0">
      <text>
        <r>
          <rPr>
            <sz val="9"/>
            <color indexed="81"/>
            <rFont val="Tahoma"/>
            <family val="2"/>
          </rPr>
          <t xml:space="preserve">Equilibrium composition calculated using Gibbs free energy minimization and atom balances
</t>
        </r>
      </text>
    </comment>
    <comment ref="E59" authorId="0" shapeId="0">
      <text>
        <r>
          <rPr>
            <sz val="9"/>
            <color indexed="81"/>
            <rFont val="Tahoma"/>
            <family val="2"/>
          </rPr>
          <t xml:space="preserve">Equilibrium composition calculated using equilibrium constant calculated from </t>
        </r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 xml:space="preserve">G for the water-gas shift reaction 
</t>
        </r>
      </text>
    </comment>
  </commentList>
</comments>
</file>

<file path=xl/sharedStrings.xml><?xml version="1.0" encoding="utf-8"?>
<sst xmlns="http://schemas.openxmlformats.org/spreadsheetml/2006/main" count="107" uniqueCount="74">
  <si>
    <t>Department of Chemical and Biological Engineering</t>
  </si>
  <si>
    <t>University of Colorado Boulder</t>
  </si>
  <si>
    <t>www.LearnChemE.com</t>
  </si>
  <si>
    <r>
      <t>n</t>
    </r>
    <r>
      <rPr>
        <vertAlign val="subscript"/>
        <sz val="11"/>
        <color theme="1"/>
        <rFont val="Calibri"/>
        <family val="2"/>
        <scheme val="minor"/>
      </rPr>
      <t>in</t>
    </r>
  </si>
  <si>
    <r>
      <t>n</t>
    </r>
    <r>
      <rPr>
        <vertAlign val="subscript"/>
        <sz val="11"/>
        <color theme="1"/>
        <rFont val="Calibri"/>
        <family val="2"/>
        <scheme val="minor"/>
      </rPr>
      <t>out</t>
    </r>
  </si>
  <si>
    <t>yi</t>
  </si>
  <si>
    <t>T</t>
  </si>
  <si>
    <t>A</t>
  </si>
  <si>
    <t>B</t>
  </si>
  <si>
    <t>C</t>
  </si>
  <si>
    <t>D</t>
  </si>
  <si>
    <t>element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</si>
  <si>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A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</si>
  <si>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D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</si>
  <si>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</si>
  <si>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B</t>
    </r>
  </si>
  <si>
    <t>molecule</t>
  </si>
  <si>
    <t>Atomic balances</t>
  </si>
  <si>
    <t>H</t>
  </si>
  <si>
    <t>O</t>
  </si>
  <si>
    <t>J</t>
  </si>
  <si>
    <t>kJ/(mol K)</t>
  </si>
  <si>
    <t>I</t>
  </si>
  <si>
    <t>273-1800</t>
  </si>
  <si>
    <t>range(K)</t>
  </si>
  <si>
    <t>CO</t>
  </si>
  <si>
    <r>
      <t>T</t>
    </r>
    <r>
      <rPr>
        <vertAlign val="subscript"/>
        <sz val="11"/>
        <color theme="1"/>
        <rFont val="Calibri"/>
        <family val="2"/>
        <scheme val="minor"/>
      </rPr>
      <t>R</t>
    </r>
  </si>
  <si>
    <r>
      <t>R</t>
    </r>
    <r>
      <rPr>
        <vertAlign val="subscript"/>
        <sz val="11"/>
        <color theme="1"/>
        <rFont val="Calibri"/>
        <family val="2"/>
        <scheme val="minor"/>
      </rPr>
      <t>g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</si>
  <si>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</si>
  <si>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</si>
  <si>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</si>
  <si>
    <t>out</t>
  </si>
  <si>
    <t>in</t>
  </si>
  <si>
    <t>out-in</t>
  </si>
  <si>
    <t>kJ/mol</t>
  </si>
  <si>
    <r>
      <t>O</t>
    </r>
    <r>
      <rPr>
        <vertAlign val="subscript"/>
        <sz val="11"/>
        <color theme="1"/>
        <rFont val="Calibri"/>
        <family val="2"/>
        <scheme val="minor"/>
      </rPr>
      <t>2</t>
    </r>
  </si>
  <si>
    <r>
      <t>N</t>
    </r>
    <r>
      <rPr>
        <vertAlign val="subscript"/>
        <sz val="11"/>
        <color theme="1"/>
        <rFont val="Calibri"/>
        <family val="2"/>
        <scheme val="minor"/>
      </rPr>
      <t>2</t>
    </r>
  </si>
  <si>
    <t>Atom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</si>
  <si>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i/>
        <sz val="11"/>
        <color theme="1"/>
        <rFont val="Calibri"/>
        <family val="2"/>
        <scheme val="minor"/>
      </rPr>
      <t xml:space="preserve"> (J/(mol K) </t>
    </r>
    <r>
      <rPr>
        <sz val="11"/>
        <color theme="1"/>
        <rFont val="Calibri"/>
        <family val="2"/>
        <scheme val="minor"/>
      </rPr>
      <t>for formation reactions</t>
    </r>
  </si>
  <si>
    <t>P</t>
  </si>
  <si>
    <t xml:space="preserve">K </t>
  </si>
  <si>
    <t>K</t>
  </si>
  <si>
    <t>bar</t>
  </si>
  <si>
    <t>J/(mol K)</t>
  </si>
  <si>
    <t>300-2400</t>
  </si>
  <si>
    <t>ln(yi)</t>
  </si>
  <si>
    <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at T</t>
    </r>
  </si>
  <si>
    <t>Wikipedia</t>
  </si>
  <si>
    <t>Water-gas shift reaction</t>
  </si>
  <si>
    <r>
      <t>K</t>
    </r>
    <r>
      <rPr>
        <vertAlign val="subscript"/>
        <sz val="11"/>
        <color theme="1"/>
        <rFont val="Calibri"/>
        <family val="2"/>
        <scheme val="minor"/>
      </rPr>
      <t>eq</t>
    </r>
  </si>
  <si>
    <r>
      <t>n</t>
    </r>
    <r>
      <rPr>
        <vertAlign val="subscript"/>
        <sz val="11"/>
        <color theme="1"/>
        <rFont val="Calibri"/>
        <family val="2"/>
        <scheme val="minor"/>
      </rPr>
      <t>total,out</t>
    </r>
    <r>
      <rPr>
        <sz val="11"/>
        <color theme="1"/>
        <rFont val="Calibri"/>
        <family val="2"/>
        <scheme val="minor"/>
      </rPr>
      <t>=</t>
    </r>
  </si>
  <si>
    <t xml:space="preserve">kJ/mol </t>
  </si>
  <si>
    <t>input values in green</t>
  </si>
  <si>
    <t>Cells used in Solver in yellow</t>
  </si>
  <si>
    <t>Solution in blue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</si>
  <si>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Calibri"/>
        <family val="2"/>
        <scheme val="minor"/>
      </rPr>
      <t>f,298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</si>
  <si>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bscript"/>
        <sz val="11"/>
        <color theme="1"/>
        <rFont val="Calibri"/>
        <family val="2"/>
        <scheme val="minor"/>
      </rPr>
      <t>f,298</t>
    </r>
    <r>
      <rPr>
        <sz val="11"/>
        <color theme="1"/>
        <rFont val="Calibri"/>
        <family val="2"/>
        <scheme val="minor"/>
      </rPr>
      <t>/RT</t>
    </r>
    <r>
      <rPr>
        <vertAlign val="subscript"/>
        <sz val="11"/>
        <color theme="1"/>
        <rFont val="Calibri"/>
        <family val="2"/>
        <scheme val="minor"/>
      </rPr>
      <t>R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</si>
  <si>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bscript"/>
        <sz val="11"/>
        <color theme="1"/>
        <rFont val="Calibri"/>
        <family val="2"/>
        <scheme val="minor"/>
      </rPr>
      <t>f,T</t>
    </r>
    <r>
      <rPr>
        <sz val="11"/>
        <color theme="1"/>
        <rFont val="Calibri"/>
        <family val="2"/>
        <scheme val="minor"/>
      </rPr>
      <t>/RT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</si>
  <si>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</si>
  <si>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</si>
  <si>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bscript"/>
        <sz val="11"/>
        <color theme="1"/>
        <rFont val="Calibri"/>
        <family val="2"/>
        <scheme val="minor"/>
      </rPr>
      <t>f,298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</si>
  <si>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Calibri"/>
        <family val="2"/>
        <scheme val="minor"/>
      </rPr>
      <t>rxn,T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</si>
  <si>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bscript"/>
        <sz val="11"/>
        <color theme="1"/>
        <rFont val="Calibri"/>
        <family val="2"/>
        <scheme val="minor"/>
      </rPr>
      <t>rxn,T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</si>
  <si>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bscript"/>
        <sz val="11"/>
        <color theme="1"/>
        <rFont val="Calibri"/>
        <family val="2"/>
        <scheme val="minor"/>
      </rPr>
      <t>rxn,T</t>
    </r>
    <r>
      <rPr>
        <sz val="11"/>
        <color theme="1"/>
        <rFont val="Calibri"/>
        <family val="2"/>
        <scheme val="minor"/>
      </rPr>
      <t>/RT</t>
    </r>
  </si>
  <si>
    <t>nG/RT=</t>
  </si>
  <si>
    <r>
      <t>Heat capacity (</t>
    </r>
    <r>
      <rPr>
        <i/>
        <sz val="11"/>
        <color theme="1"/>
        <rFont val="Calibri"/>
        <family val="2"/>
        <scheme val="minor"/>
      </rPr>
      <t>J/(mol K</t>
    </r>
    <r>
      <rPr>
        <sz val="11"/>
        <color theme="1"/>
        <rFont val="Calibri"/>
        <family val="2"/>
        <scheme val="minor"/>
      </rPr>
      <t>)</t>
    </r>
  </si>
  <si>
    <r>
      <t>Heat capacity of elements (</t>
    </r>
    <r>
      <rPr>
        <i/>
        <sz val="11"/>
        <color theme="1"/>
        <rFont val="Calibri"/>
        <family val="2"/>
        <scheme val="minor"/>
      </rPr>
      <t>J/(mol K</t>
    </r>
    <r>
      <rPr>
        <sz val="11"/>
        <color theme="1"/>
        <rFont val="Calibri"/>
        <family val="2"/>
        <scheme val="minor"/>
      </rPr>
      <t>)</t>
    </r>
  </si>
  <si>
    <t xml:space="preserve">Calculate chemical equilibrium for water-gas shift reaction </t>
  </si>
  <si>
    <t>using minimization of Gibbs free energy</t>
  </si>
  <si>
    <r>
      <t>Compare equilibrium composition using G</t>
    </r>
    <r>
      <rPr>
        <vertAlign val="subscript"/>
        <sz val="11"/>
        <color theme="1"/>
        <rFont val="Calibri"/>
        <family val="2"/>
        <scheme val="minor"/>
      </rPr>
      <t>min</t>
    </r>
    <r>
      <rPr>
        <sz val="11"/>
        <color theme="1"/>
        <rFont val="Calibri"/>
        <family val="2"/>
        <scheme val="minor"/>
      </rPr>
      <t xml:space="preserve"> and K</t>
    </r>
    <r>
      <rPr>
        <vertAlign val="subscript"/>
        <sz val="11"/>
        <color theme="1"/>
        <rFont val="Calibri"/>
        <family val="2"/>
        <scheme val="minor"/>
      </rPr>
      <t>eq</t>
    </r>
    <r>
      <rPr>
        <sz val="11"/>
        <color theme="1"/>
        <rFont val="Calibri"/>
        <family val="2"/>
        <scheme val="minor"/>
      </rPr>
      <t xml:space="preserve"> </t>
    </r>
  </si>
  <si>
    <r>
      <t>at 750 K, 1-bar pressure, feed: 2 mol CO, 2 mol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</si>
  <si>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(nG/RT)</t>
    </r>
    <r>
      <rPr>
        <vertAlign val="subscript"/>
        <sz val="11"/>
        <color theme="1"/>
        <rFont val="Calibri"/>
        <family val="2"/>
        <scheme val="minor"/>
      </rPr>
      <t>min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</si>
  <si>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  <r>
      <rPr>
        <sz val="11"/>
        <color theme="1"/>
        <rFont val="Calibri"/>
        <family val="2"/>
        <scheme val="minor"/>
      </rPr>
      <t>/RT</t>
    </r>
  </si>
  <si>
    <r>
      <t>n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*(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if,T</t>
    </r>
    <r>
      <rPr>
        <sz val="11"/>
        <color theme="1"/>
        <rFont val="Calibri"/>
        <family val="2"/>
        <scheme val="minor"/>
      </rPr>
      <t>/RT + ln(y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*P))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</si>
</sst>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0"/>
    <numFmt numFmtId="166" formatCode="0.000"/>
  </numFmts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9"/>
      <color indexed="81"/>
      <name val="Symbol"/>
      <family val="1"/>
      <charset val="2"/>
    </font>
    <font>
      <vertAlign val="super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0" xfId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2" borderId="0" xfId="0" applyFill="1"/>
    <xf numFmtId="164" fontId="0" fillId="0" borderId="0" xfId="0" applyNumberFormat="1" applyAlignment="1">
      <alignment horizontal="center"/>
    </xf>
    <xf numFmtId="0" fontId="0" fillId="0" borderId="3" xfId="0" applyFill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5" fillId="0" borderId="0" xfId="0" applyFon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0" borderId="0" xfId="0" applyBorder="1" applyAlignment="1">
      <alignment horizontal="center"/>
    </xf>
    <xf numFmtId="11" fontId="0" fillId="2" borderId="4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/>
    <xf numFmtId="0" fontId="6" fillId="0" borderId="0" xfId="0" applyFont="1" applyAlignment="1">
      <alignment horizontal="left"/>
    </xf>
    <xf numFmtId="0" fontId="0" fillId="0" borderId="4" xfId="0" applyFont="1" applyBorder="1" applyAlignment="1">
      <alignment horizontal="right" vertical="center"/>
    </xf>
    <xf numFmtId="3" fontId="0" fillId="0" borderId="0" xfId="0" applyNumberFormat="1" applyAlignment="1">
      <alignment horizontal="center"/>
    </xf>
    <xf numFmtId="0" fontId="0" fillId="0" borderId="1" xfId="0" applyFont="1" applyBorder="1" applyAlignment="1">
      <alignment horizontal="center"/>
    </xf>
    <xf numFmtId="0" fontId="0" fillId="3" borderId="0" xfId="0" applyFill="1"/>
    <xf numFmtId="0" fontId="8" fillId="0" borderId="3" xfId="0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166" fontId="0" fillId="4" borderId="4" xfId="0" applyNumberFormat="1" applyFill="1" applyBorder="1" applyAlignment="1">
      <alignment horizontal="center"/>
    </xf>
    <xf numFmtId="0" fontId="0" fillId="4" borderId="0" xfId="0" applyFill="1"/>
    <xf numFmtId="2" fontId="0" fillId="2" borderId="4" xfId="0" applyNumberFormat="1" applyFill="1" applyBorder="1" applyAlignment="1">
      <alignment horizontal="center"/>
    </xf>
    <xf numFmtId="166" fontId="0" fillId="5" borderId="4" xfId="0" applyNumberForma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207170</xdr:colOff>
      <xdr:row>9</xdr:row>
      <xdr:rowOff>121444</xdr:rowOff>
    </xdr:from>
    <xdr:to>
      <xdr:col>17</xdr:col>
      <xdr:colOff>523876</xdr:colOff>
      <xdr:row>25</xdr:row>
      <xdr:rowOff>83342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9505951" y="1990725"/>
              <a:ext cx="1531144" cy="83105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Formation reactions</a:t>
              </a: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+0.5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𝐶𝑂</m:t>
                    </m:r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+0.5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𝑂</m:t>
                    </m:r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9505951" y="1990725"/>
              <a:ext cx="1531144" cy="83105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Formation reactions</a:t>
              </a: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𝐶+0.5𝑂_2→𝐶𝑂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𝐻_2+0.5𝑂_2→𝐻_2 𝑂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𝐶+𝑂_2→𝐶𝑂_2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9</xdr:col>
      <xdr:colOff>311943</xdr:colOff>
      <xdr:row>38</xdr:row>
      <xdr:rowOff>182561</xdr:rowOff>
    </xdr:from>
    <xdr:to>
      <xdr:col>20</xdr:col>
      <xdr:colOff>47622</xdr:colOff>
      <xdr:row>66</xdr:row>
      <xdr:rowOff>23813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5824537" y="4444999"/>
              <a:ext cx="6772273" cy="563959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endParaRPr lang="en-US">
                <a:effectLst/>
              </a:endParaRPr>
            </a:p>
            <a:p>
              <a14:m>
                <m:oMath xmlns:m="http://schemas.openxmlformats.org/officeDocument/2006/math">
                  <m:f>
                    <m:f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x-IV_mathan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𝑛𝐺</m:t>
                      </m:r>
                    </m:num>
                    <m:den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RT</m:t>
                      </m:r>
                    </m:den>
                  </m:f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Σ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[</m:t>
                  </m:r>
                  <m:f>
                    <m:f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x-IV_mathan" sz="11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  <m:sub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𝑓</m:t>
                          </m:r>
                          <m: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m:rPr>
                              <m:sty m:val="p"/>
                            </m:rP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i</m:t>
                          </m:r>
                          <m:r>
                            <a:rPr lang="en-US" sz="11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sub>
                        <m:sup>
                          <m:r>
                            <a:rPr lang="x-IV_mathan" sz="11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𝑜</m:t>
                          </m:r>
                        </m:sup>
                      </m:sSubSup>
                    </m:num>
                    <m:den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𝑅𝑇</m:t>
                      </m:r>
                    </m:den>
                  </m:f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m:rPr>
                      <m:sty m:val="p"/>
                    </m:rPr>
                    <a:rPr lang="x-IV_mathan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ln</m:t>
                  </m:r>
                  <m: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(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y</m:t>
                      </m:r>
                    </m:e>
                    <m:sub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i</m:t>
                      </m:r>
                    </m:sub>
                  </m:sSub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𝑃</m:t>
                  </m:r>
                  <m: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𝑂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𝑂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</m:oMath>
              </a14:m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T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o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bSup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bSup>
                          </m:e>
                        </m:d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  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𝑎𝑛𝑑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</m:oMath>
              </a14:m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5824537" y="4444999"/>
              <a:ext cx="6772273" cy="563959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endParaRPr lang="en-US">
                <a:effectLst/>
              </a:endParaRPr>
            </a:p>
            <a:p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/RT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Σ𝑛_𝑖 [(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Δ𝐺_(𝑓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i,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𝑇)^𝑜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)/𝑅𝑇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+ln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(y_i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𝑃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𝑛_(𝐶,𝑖𝑛)=𝑛_(𝐶,𝑜𝑢𝑡)      𝑛_(𝑂,𝑖𝑛)=𝑛_(𝑂,𝑜𝑢𝑡)      𝑛_(𝐻,𝑖𝑛)=𝑛_(𝐻,𝑜𝑢𝑡)</a:t>
              </a:r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H_T^o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+Δ𝐴(𝑇−𝑇_𝑅 )+Δ𝐵/2 (𝑇^2−𝑇_𝑅^2 )+Δ𝐶/3 (𝑇^3−𝑇_𝑅^3 )+Δ𝐷/4(𝑇^4−𝑇_𝑅^4)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−Δ𝐴𝑇_𝑅−Δ𝐵/2 𝑇_𝑅^2−Δ𝐶/3 𝑇_𝑅^3−Δ𝐷/4 𝑇_𝑅^4+Δ𝐴𝑇+Δ𝐵/2 𝑇^2+Δ𝐶/3 𝑇^3+Δ𝐷/4 𝑇^4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J=Δ𝐻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−Δ𝐴𝑇_𝑅−Δ𝐵/2 𝑇_𝑅^2−Δ𝐶/3 𝑇_𝑅^3−Δ𝐷/4 𝑇_𝑅^4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=J+Δ𝐴𝑇+Δ𝐵/2 𝑇^2+Δ𝐶/3 𝑇^3+Δ𝐷/4 𝑇^4</a:t>
              </a:r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  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)−1/𝑅 [−𝐽/𝑇+𝐽/𝑇_𝑅 +Δ𝐴(𝑙𝑛𝑇−𝑙𝑛𝑇_𝑅 )+Δ𝐵/2 (𝑇−𝑇_𝑅 )+Δ𝐶/6 (𝑇^2−𝑇_𝑅^2 )+Δ𝐷/12 (𝑇^3−𝑇_𝑅^3 )]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)+1/𝑅 [−𝐽/𝑇_𝑅 +Δ𝐴𝑙𝑛𝑇_𝑅+Δ𝐵/2 𝑇_𝑅+Δ𝐶/6 𝑇_𝑅^2+Δ𝐷/12 𝑇_𝑅^3 ]+1/𝑅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𝐼=1/𝑅 [−𝐽/𝑇_𝑅 +Δ𝐴𝑙𝑛𝑇_𝑅+Δ𝐵/2 𝑇_𝑅+Δ𝐶/6 𝑇_𝑅^2+Δ𝐷/12 𝑇_𝑅^3 ]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𝑅𝑇_𝑅 )+𝐼+1/𝑅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Δ𝐺,  𝑎𝑛𝑑  Δ𝐻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Δ𝐶_𝑃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Δ𝐻</a:t>
              </a:r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Δ𝐺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Δ𝐶_𝑃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Fallback>
    </mc:AlternateContent>
    <xdr:clientData/>
  </xdr:twoCellAnchor>
  <xdr:twoCellAnchor>
    <xdr:from>
      <xdr:col>5</xdr:col>
      <xdr:colOff>238126</xdr:colOff>
      <xdr:row>58</xdr:row>
      <xdr:rowOff>59532</xdr:rowOff>
    </xdr:from>
    <xdr:to>
      <xdr:col>8</xdr:col>
      <xdr:colOff>523876</xdr:colOff>
      <xdr:row>64</xdr:row>
      <xdr:rowOff>23814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3143251" y="8405813"/>
              <a:ext cx="2286000" cy="1297782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𝐶𝑂</m:t>
                    </m:r>
                    <m:r>
                      <a:rPr lang="x-IV_mathan" sz="110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 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𝑂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→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𝐶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𝑂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       2             2            0          0</a:t>
              </a: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out  </a:t>
              </a:r>
              <a14:m>
                <m:oMath xmlns:m="http://schemas.openxmlformats.org/officeDocument/2006/math"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2−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2−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       </m:t>
                  </m:r>
                  <m:r>
                    <m:rPr>
                      <m:sty m:val="p"/>
                    </m:rP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ξ</m:t>
                  </m:r>
                </m:oMath>
              </a14:m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𝑒𝑞</m:t>
                        </m:r>
                      </m:sub>
                    </m:sSub>
                    <m:r>
                      <a:rPr lang="en-US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unc>
                      <m:funcPr>
                        <m:ctrlPr>
                          <a:rPr lang="en-US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exp</m:t>
                        </m:r>
                        <m:d>
                          <m:dPr>
                            <m:ctrlPr>
                              <a:rPr lang="en-US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r>
                                  <m:rPr>
                                    <m:sty m:val="p"/>
                                  </m:rPr>
                                  <a:rPr lang="en-US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Δ</m:t>
                                </m:r>
                                <m:sSubSup>
                                  <m:sSubSupPr>
                                    <m:ctrlPr>
                                      <a:rPr lang="en-US" sz="11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SupPr>
                                  <m:e>
                                    <m:r>
                                      <m:rPr>
                                        <m:sty m:val="p"/>
                                      </m:rPr>
                                      <a:rPr lang="en-US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G</m:t>
                                    </m:r>
                                  </m:e>
                                  <m:sub>
                                    <m:r>
                                      <m:rPr>
                                        <m:sty m:val="p"/>
                                      </m:rPr>
                                      <a:rPr lang="en-US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T</m:t>
                                    </m:r>
                                  </m:sub>
                                  <m:sup>
                                    <m:r>
                                      <m:rPr>
                                        <m:sty m:val="p"/>
                                      </m:rPr>
                                      <a:rPr lang="en-US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o</m:t>
                                    </m:r>
                                  </m:sup>
                                </m:sSubSup>
                              </m:num>
                              <m:den>
                                <m:r>
                                  <m:rPr>
                                    <m:sty m:val="p"/>
                                  </m:rPr>
                                  <a:rPr lang="en-US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RT</m:t>
                                </m:r>
                              </m:den>
                            </m:f>
                          </m:e>
                        </m:d>
                      </m:fName>
                      <m:e>
                        <m:r>
                          <a:rPr lang="en-US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f>
                          <m:f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𝜉</m:t>
                                </m:r>
                              </m:e>
                              <m:sup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p>
                              <m:sSupPr>
                                <m:ctrlP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2−</m:t>
                                    </m:r>
                                    <m:r>
                                      <a:rPr lang="en-US" sz="1100" b="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𝜉</m:t>
                                    </m:r>
                                  </m:e>
                                </m:d>
                              </m:e>
                              <m:sup>
                                <m:r>
                                  <a:rPr lang="en-US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</m:den>
                        </m:f>
                      </m:e>
                    </m:func>
                  </m:oMath>
                </m:oMathPara>
              </a14:m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3143251" y="8405813"/>
              <a:ext cx="2286000" cy="1297782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𝐶𝑂 +〖  𝐻〗_2 𝑂→𝐶𝑂_2+𝐻_2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In        2             2            0          0</a:t>
              </a: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out 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2−ξ  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2−ξ    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 ξ            ξ</a:t>
              </a:r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/>
              </a:r>
              <a:b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</a:br>
              <a:r>
                <a:rPr lang="en-US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𝐾_𝑒𝑞=exp((−ΔG_T^o)/RT)⁡〖=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𝜉^2/(2−𝜉)^2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〗</a:t>
              </a:r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15</xdr:col>
      <xdr:colOff>261938</xdr:colOff>
      <xdr:row>0</xdr:row>
      <xdr:rowOff>95248</xdr:rowOff>
    </xdr:from>
    <xdr:to>
      <xdr:col>24</xdr:col>
      <xdr:colOff>23813</xdr:colOff>
      <xdr:row>9</xdr:row>
      <xdr:rowOff>35718</xdr:rowOff>
    </xdr:to>
    <xdr:sp macro="" textlink="">
      <xdr:nvSpPr>
        <xdr:cNvPr id="4" name="TextBox 3"/>
        <xdr:cNvSpPr txBox="1"/>
      </xdr:nvSpPr>
      <xdr:spPr>
        <a:xfrm>
          <a:off x="9560719" y="95248"/>
          <a:ext cx="5322094" cy="18097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calculate equilibrium composition: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Enter temperature (Green Cell B9) and pressure (Green Cell B11).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Enter number of moles into the system (Green Cells F9-F13) 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Enter guesses for moles out of system (equilibrium moles) in Orange Cells G9-G13.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Use Solver to minimize nG/RT (Yellow Cell J7) by changing the number of moles out (orange cells), subject to the mass balance constraints (Yellow Cells O9-O11) are zero and the constraints that moles out (orange) are positive.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Some initial guesses do not reach a solution because one or more of the moles out become negative. Usually changing the value of that cell to a positive number and re-running Solver yields a solution.</a:t>
          </a:r>
          <a:endParaRPr lang="en-US">
            <a:effectLst/>
          </a:endParaRP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://www.learncheme.com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66"/>
  <sheetViews>
    <sheetView tabSelected="1" topLeftCell="A3" zoomScale="110" zoomScaleNormal="110" workbookViewId="0">
      <selection activeCell="D8" sqref="D8:G12"/>
    </sheetView>
  </sheetViews>
  <sheetFormatPr defaultRowHeight="15" x14ac:dyDescent="0.25"/>
  <cols>
    <col min="1" max="1" width="6.5703125" customWidth="1"/>
    <col min="2" max="2" width="8.7109375" customWidth="1"/>
    <col min="3" max="4" width="10.5703125" customWidth="1"/>
    <col min="5" max="5" width="9" customWidth="1"/>
    <col min="6" max="6" width="9.5703125" customWidth="1"/>
    <col min="7" max="7" width="10.5703125" customWidth="1"/>
    <col min="8" max="8" width="9.85546875" customWidth="1"/>
    <col min="10" max="10" width="9.7109375" customWidth="1"/>
    <col min="11" max="11" width="12" customWidth="1"/>
    <col min="12" max="12" width="9.5703125" customWidth="1"/>
    <col min="13" max="13" width="10" customWidth="1"/>
    <col min="14" max="14" width="8.28515625" customWidth="1"/>
    <col min="15" max="15" width="9.140625" customWidth="1"/>
    <col min="16" max="16" width="7.7109375" customWidth="1"/>
    <col min="17" max="17" width="10.5703125" customWidth="1"/>
    <col min="18" max="18" width="8.85546875" customWidth="1"/>
    <col min="19" max="19" width="9" customWidth="1"/>
    <col min="20" max="20" width="10.85546875" customWidth="1"/>
  </cols>
  <sheetData>
    <row r="2" spans="1:21" ht="15.75" x14ac:dyDescent="0.25">
      <c r="B2" s="2" t="s">
        <v>67</v>
      </c>
    </row>
    <row r="3" spans="1:21" ht="15.75" x14ac:dyDescent="0.25">
      <c r="B3" s="18" t="s">
        <v>68</v>
      </c>
      <c r="C3" s="2"/>
      <c r="K3" s="33" t="s">
        <v>52</v>
      </c>
      <c r="L3" s="33"/>
      <c r="M3" s="33"/>
    </row>
    <row r="4" spans="1:21" x14ac:dyDescent="0.25">
      <c r="B4" t="s">
        <v>0</v>
      </c>
      <c r="K4" s="13" t="s">
        <v>53</v>
      </c>
      <c r="L4" s="13"/>
      <c r="M4" s="13"/>
      <c r="N4" s="13"/>
    </row>
    <row r="5" spans="1:21" x14ac:dyDescent="0.25">
      <c r="B5" t="s">
        <v>1</v>
      </c>
      <c r="G5" s="1" t="s">
        <v>2</v>
      </c>
      <c r="K5" s="40" t="s">
        <v>54</v>
      </c>
      <c r="L5" s="40"/>
      <c r="T5" s="3"/>
    </row>
    <row r="6" spans="1:21" x14ac:dyDescent="0.25">
      <c r="A6" s="3"/>
      <c r="B6" s="3"/>
      <c r="C6" s="3"/>
      <c r="T6" s="6"/>
    </row>
    <row r="7" spans="1:21" ht="18.75" thickBot="1" x14ac:dyDescent="0.4">
      <c r="A7" s="3"/>
      <c r="B7" s="3"/>
      <c r="C7" s="3"/>
      <c r="F7" s="11" t="s">
        <v>50</v>
      </c>
      <c r="G7" s="20">
        <f>SUM(G9:G12)</f>
        <v>4.000000487871235</v>
      </c>
      <c r="I7" s="30" t="s">
        <v>64</v>
      </c>
      <c r="J7" s="41">
        <f>SUM(J9:J12)</f>
        <v>-122.059191172388</v>
      </c>
      <c r="L7" s="44" t="s">
        <v>17</v>
      </c>
      <c r="M7" s="44"/>
      <c r="N7" s="44"/>
      <c r="O7" s="44"/>
      <c r="P7" s="3"/>
      <c r="Q7" s="3"/>
      <c r="R7" s="3"/>
      <c r="S7" s="3"/>
    </row>
    <row r="8" spans="1:21" ht="19.5" thickBot="1" x14ac:dyDescent="0.4">
      <c r="A8" s="3" t="s">
        <v>27</v>
      </c>
      <c r="B8" s="5">
        <v>8.3140000000000002E-3</v>
      </c>
      <c r="C8" s="29" t="s">
        <v>21</v>
      </c>
      <c r="D8" s="27" t="s">
        <v>16</v>
      </c>
      <c r="E8" s="23" t="s">
        <v>72</v>
      </c>
      <c r="F8" s="12" t="s">
        <v>3</v>
      </c>
      <c r="G8" s="23" t="s">
        <v>4</v>
      </c>
      <c r="H8" s="23" t="s">
        <v>5</v>
      </c>
      <c r="I8" s="12" t="s">
        <v>45</v>
      </c>
      <c r="J8" s="17" t="s">
        <v>73</v>
      </c>
      <c r="K8" s="3"/>
      <c r="L8" s="8" t="s">
        <v>37</v>
      </c>
      <c r="M8" s="8" t="s">
        <v>31</v>
      </c>
      <c r="N8" s="8" t="s">
        <v>32</v>
      </c>
      <c r="O8" s="8" t="s">
        <v>33</v>
      </c>
      <c r="P8" s="6"/>
      <c r="Q8" s="6"/>
      <c r="R8" s="3"/>
      <c r="S8" s="14"/>
    </row>
    <row r="9" spans="1:21" ht="18" x14ac:dyDescent="0.35">
      <c r="A9" s="3" t="s">
        <v>6</v>
      </c>
      <c r="B9" s="21">
        <v>750</v>
      </c>
      <c r="C9" s="29" t="s">
        <v>40</v>
      </c>
      <c r="D9" s="3" t="s">
        <v>28</v>
      </c>
      <c r="E9" s="6">
        <f>Q29+P29+(1/Rg)*(O29/T+(-J29*LN(T)-K29*T/2-L29*T^2/6-M29*T^3/12)/1000)</f>
        <v>-63.565639744682734</v>
      </c>
      <c r="F9" s="25">
        <v>0</v>
      </c>
      <c r="G9" s="42">
        <v>1.4215124148950833</v>
      </c>
      <c r="H9" s="39">
        <f>G9/ntot</f>
        <v>0.35537806037908753</v>
      </c>
      <c r="I9" s="20">
        <f>LN(H9)</f>
        <v>-1.0345730973587464</v>
      </c>
      <c r="J9" s="3">
        <f>G9*(E9+I9+LN(P))</f>
        <v>-88.556851263783386</v>
      </c>
      <c r="K9" s="3"/>
      <c r="L9" s="3" t="s">
        <v>9</v>
      </c>
      <c r="M9" s="20">
        <f>G9+G10</f>
        <v>2.0000009878489364</v>
      </c>
      <c r="N9" s="20">
        <f>F9+F10</f>
        <v>2</v>
      </c>
      <c r="O9" s="24">
        <f>M9-N9</f>
        <v>9.8784893642900329E-7</v>
      </c>
    </row>
    <row r="10" spans="1:21" ht="18" x14ac:dyDescent="0.35">
      <c r="A10" s="3" t="s">
        <v>26</v>
      </c>
      <c r="B10" s="3">
        <v>298</v>
      </c>
      <c r="C10" s="29" t="s">
        <v>41</v>
      </c>
      <c r="D10" s="3" t="s">
        <v>25</v>
      </c>
      <c r="E10" s="6">
        <f>Q30+P30+(1/Rg)*(O30/T+(-J30*LN(T)-K30*T/2-L30*T^2/6-M30*T^3/12)/1000)</f>
        <v>-28.718151746992095</v>
      </c>
      <c r="F10" s="26">
        <v>2</v>
      </c>
      <c r="G10" s="42">
        <v>0.57848857295385325</v>
      </c>
      <c r="H10" s="39">
        <f>G10/ntot</f>
        <v>0.14462212559921955</v>
      </c>
      <c r="I10" s="20">
        <f>LN(H10)</f>
        <v>-1.9336309685199471</v>
      </c>
      <c r="J10" s="6">
        <f>G10*(E10+I10+LN(P))</f>
        <v>-16.399686877037205</v>
      </c>
      <c r="K10" s="3"/>
      <c r="L10" s="3" t="s">
        <v>18</v>
      </c>
      <c r="M10" s="20">
        <f>2*G11+2*G12</f>
        <v>3.9999990000445962</v>
      </c>
      <c r="N10" s="20">
        <f>2*F11+2*F12</f>
        <v>4</v>
      </c>
      <c r="O10" s="24">
        <f>M10-N10</f>
        <v>-9.999554038131464E-7</v>
      </c>
      <c r="T10" s="4"/>
      <c r="U10" s="3"/>
    </row>
    <row r="11" spans="1:21" ht="18" x14ac:dyDescent="0.35">
      <c r="A11" s="3" t="s">
        <v>39</v>
      </c>
      <c r="B11" s="22">
        <v>10</v>
      </c>
      <c r="C11" s="29" t="s">
        <v>42</v>
      </c>
      <c r="D11" s="3" t="s">
        <v>29</v>
      </c>
      <c r="E11" s="6">
        <f>Q31+P31+(1/Rg)*(O31/T+(-J31*LN(T)-K31*T/2-L31*T^2/6-M31*T^3/12)/1000)</f>
        <v>-33.049367109853392</v>
      </c>
      <c r="F11" s="26">
        <v>2</v>
      </c>
      <c r="G11" s="42">
        <v>0.5784855972559807</v>
      </c>
      <c r="H11" s="39">
        <f>G11/ntot</f>
        <v>0.14462138167484215</v>
      </c>
      <c r="I11" s="20">
        <f>LN(H11)</f>
        <v>-1.9336361124513315</v>
      </c>
      <c r="J11" s="6">
        <f>G11*(E11+I11+LN(P))</f>
        <v>-18.905151200109469</v>
      </c>
      <c r="K11" s="3"/>
      <c r="L11" s="3" t="s">
        <v>19</v>
      </c>
      <c r="M11" s="20">
        <f>2*G9+G10+G11</f>
        <v>3.9999990000000007</v>
      </c>
      <c r="N11" s="20">
        <f>2*F9+F10+F11</f>
        <v>4</v>
      </c>
      <c r="O11" s="24">
        <f>M11-N11</f>
        <v>-9.9999999925159955E-7</v>
      </c>
      <c r="T11" s="3"/>
      <c r="U11" s="3"/>
    </row>
    <row r="12" spans="1:21" ht="18" x14ac:dyDescent="0.35">
      <c r="A12" s="3"/>
      <c r="B12" s="3"/>
      <c r="C12" s="3"/>
      <c r="D12" s="3" t="s">
        <v>30</v>
      </c>
      <c r="E12" s="6">
        <v>0</v>
      </c>
      <c r="F12" s="26">
        <v>0</v>
      </c>
      <c r="G12" s="42">
        <v>1.4215139027663175</v>
      </c>
      <c r="H12" s="39">
        <f>G12/ntot</f>
        <v>0.35537843234685074</v>
      </c>
      <c r="I12" s="20">
        <f>LN(H12)</f>
        <v>-1.0345720506774512</v>
      </c>
      <c r="J12" s="20">
        <f>G12*(E12+I12+LN(P))</f>
        <v>1.8024981685420542</v>
      </c>
      <c r="K12" s="3"/>
      <c r="L12" s="3"/>
      <c r="T12" s="3"/>
      <c r="U12" s="3"/>
    </row>
    <row r="13" spans="1:2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21" hidden="1" x14ac:dyDescent="0.25">
      <c r="A14" s="3"/>
      <c r="B14" s="3"/>
      <c r="C14" s="3"/>
      <c r="D14" s="3"/>
      <c r="E14" s="3"/>
      <c r="F14" s="3"/>
      <c r="G14" s="3"/>
      <c r="H14" s="3"/>
      <c r="I14" s="3"/>
      <c r="K14" s="3"/>
      <c r="L14" s="3"/>
    </row>
    <row r="15" spans="1:21" hidden="1" x14ac:dyDescent="0.25">
      <c r="A15" s="3"/>
      <c r="B15" s="3"/>
      <c r="C15" s="3"/>
      <c r="D15" s="3"/>
      <c r="E15" s="3"/>
      <c r="F15" s="3"/>
      <c r="G15" s="3"/>
      <c r="H15" s="3"/>
      <c r="I15" s="3"/>
      <c r="J15" s="4"/>
      <c r="K15" s="3"/>
      <c r="L15" s="3"/>
    </row>
    <row r="16" spans="1:21" hidden="1" x14ac:dyDescent="0.25">
      <c r="A16" s="3"/>
      <c r="B16" s="3"/>
      <c r="C16" s="3"/>
      <c r="D16" s="3"/>
      <c r="E16" s="3"/>
      <c r="F16" s="3"/>
      <c r="G16" s="3"/>
      <c r="H16" s="3"/>
      <c r="I16" s="3"/>
      <c r="J16" s="4"/>
      <c r="K16" s="3"/>
      <c r="L16" s="3"/>
    </row>
    <row r="17" spans="1:21" hidden="1" x14ac:dyDescent="0.25">
      <c r="A17" s="3"/>
      <c r="B17" s="3"/>
      <c r="C17" s="3"/>
      <c r="D17" s="3"/>
      <c r="E17" s="3"/>
      <c r="F17" s="3"/>
      <c r="G17" s="3"/>
      <c r="H17" s="3"/>
      <c r="I17" s="3"/>
      <c r="J17" s="4"/>
      <c r="K17" s="3"/>
      <c r="L17" s="3"/>
    </row>
    <row r="18" spans="1:21" hidden="1" x14ac:dyDescent="0.25">
      <c r="A18" s="3"/>
      <c r="B18" s="3"/>
      <c r="C18" s="3"/>
      <c r="D18" s="3"/>
      <c r="E18" s="3"/>
      <c r="F18" s="3"/>
      <c r="G18" s="3"/>
      <c r="H18" s="3"/>
      <c r="I18" s="3"/>
      <c r="J18" s="4"/>
    </row>
    <row r="19" spans="1:21" hidden="1" x14ac:dyDescent="0.25">
      <c r="A19" s="3"/>
      <c r="B19" s="3"/>
      <c r="C19" s="3"/>
      <c r="D19" s="3"/>
      <c r="E19" s="3"/>
      <c r="F19" s="3"/>
      <c r="G19" s="3"/>
      <c r="H19" s="3"/>
      <c r="I19" s="3"/>
      <c r="J19" s="4"/>
    </row>
    <row r="20" spans="1:21" hidden="1" x14ac:dyDescent="0.25">
      <c r="A20" s="3"/>
      <c r="B20" s="3"/>
      <c r="C20" s="3"/>
      <c r="D20" s="3"/>
      <c r="E20" s="3"/>
      <c r="F20" s="3"/>
      <c r="G20" s="3"/>
      <c r="H20" s="3"/>
      <c r="I20" s="3"/>
      <c r="J20" s="4"/>
    </row>
    <row r="21" spans="1:21" hidden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21" hidden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21" hidden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21" hidden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21" hidden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2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21" ht="18.75" thickBot="1" x14ac:dyDescent="0.4">
      <c r="A27" s="3"/>
      <c r="B27" s="3"/>
      <c r="C27" s="16" t="s">
        <v>43</v>
      </c>
      <c r="E27" s="44" t="s">
        <v>65</v>
      </c>
      <c r="F27" s="44"/>
      <c r="G27" s="44"/>
      <c r="H27" s="44"/>
      <c r="J27" s="44" t="s">
        <v>38</v>
      </c>
      <c r="K27" s="44"/>
      <c r="L27" s="44"/>
      <c r="M27" s="44"/>
      <c r="N27" s="16" t="s">
        <v>34</v>
      </c>
      <c r="O27" s="3"/>
      <c r="P27" s="3"/>
      <c r="Q27" s="16"/>
      <c r="R27" s="16"/>
      <c r="S27" s="16" t="s">
        <v>34</v>
      </c>
      <c r="T27" s="16" t="s">
        <v>51</v>
      </c>
      <c r="U27" s="16" t="s">
        <v>34</v>
      </c>
    </row>
    <row r="28" spans="1:21" ht="18" x14ac:dyDescent="0.35">
      <c r="A28" s="3"/>
      <c r="B28" s="3"/>
      <c r="C28" s="10" t="s">
        <v>46</v>
      </c>
      <c r="D28" s="28" t="s">
        <v>16</v>
      </c>
      <c r="E28" s="10" t="s">
        <v>7</v>
      </c>
      <c r="F28" s="10" t="s">
        <v>8</v>
      </c>
      <c r="G28" s="10" t="s">
        <v>9</v>
      </c>
      <c r="H28" s="10" t="s">
        <v>10</v>
      </c>
      <c r="I28" s="10" t="s">
        <v>24</v>
      </c>
      <c r="J28" s="43" t="s">
        <v>12</v>
      </c>
      <c r="K28" s="43" t="s">
        <v>15</v>
      </c>
      <c r="L28" s="43" t="s">
        <v>14</v>
      </c>
      <c r="M28" s="43" t="s">
        <v>13</v>
      </c>
      <c r="N28" s="10" t="s">
        <v>55</v>
      </c>
      <c r="O28" s="10" t="s">
        <v>20</v>
      </c>
      <c r="P28" s="10" t="s">
        <v>22</v>
      </c>
      <c r="Q28" s="10" t="s">
        <v>56</v>
      </c>
      <c r="R28" s="10" t="s">
        <v>57</v>
      </c>
      <c r="S28" s="15" t="s">
        <v>58</v>
      </c>
      <c r="T28" s="10" t="s">
        <v>59</v>
      </c>
      <c r="U28" s="10" t="s">
        <v>60</v>
      </c>
    </row>
    <row r="29" spans="1:21" ht="18" x14ac:dyDescent="0.35">
      <c r="A29" s="3"/>
      <c r="B29" s="3"/>
      <c r="C29" s="6">
        <f>E29+F29*T+G29*T^2+H29*T^3</f>
        <v>50.537499999999987</v>
      </c>
      <c r="D29" s="3" t="s">
        <v>28</v>
      </c>
      <c r="E29" s="3">
        <v>22.242999999999999</v>
      </c>
      <c r="F29" s="5">
        <v>5.9769999999999997E-2</v>
      </c>
      <c r="G29" s="5">
        <v>-3.4990000000000002E-5</v>
      </c>
      <c r="H29" s="5">
        <v>7.4639999999999999E-9</v>
      </c>
      <c r="I29" s="3" t="s">
        <v>23</v>
      </c>
      <c r="J29" s="3">
        <f>E29-E42-E44</f>
        <v>-11.647000000000002</v>
      </c>
      <c r="K29" s="5">
        <f>F29-F42-F44</f>
        <v>4.4579999999999995E-2</v>
      </c>
      <c r="L29" s="5">
        <f>G29-G42-G44</f>
        <v>-2.7840000000000001E-5</v>
      </c>
      <c r="M29" s="5">
        <f>H29-H42-H44</f>
        <v>6.1529999999999997E-9</v>
      </c>
      <c r="N29" s="3">
        <v>-393.51</v>
      </c>
      <c r="O29" s="14">
        <f>N29+(-J29*TR-K29*TR^2/2-L29*TR^3/3-M29*TR^4/4)/1000</f>
        <v>-391.78518389711741</v>
      </c>
      <c r="P29" s="14">
        <f>(1/Rg)*(-O29/TR+(J29*LN(TR)+K29*TR/2+L29*TR^2/6+M29*TR^3/12)/1000)</f>
        <v>150.90272708859288</v>
      </c>
      <c r="Q29" s="6">
        <f>-394.4/(Rg*TR)</f>
        <v>-159.18810835769858</v>
      </c>
      <c r="R29" s="6">
        <f>Q29+P29+(1/Rg)*(O29/T+(-J29*LN(T)-K29*T/2-L29*T^2/6-M29*T^3/12)/1000)</f>
        <v>-63.565639744682734</v>
      </c>
      <c r="S29" s="14">
        <f>O29+(J29*T+K29*T^2/2+L29*T^3/3+M29*T^4/4)/1000</f>
        <v>-391.41059698305492</v>
      </c>
      <c r="T29" s="6">
        <f>R29*Rg*T</f>
        <v>-396.36354662796919</v>
      </c>
      <c r="U29" s="3">
        <v>-394.4</v>
      </c>
    </row>
    <row r="30" spans="1:21" x14ac:dyDescent="0.25">
      <c r="A30" s="3"/>
      <c r="B30" s="3"/>
      <c r="C30" s="6">
        <f>E30+F30*T+G30*T^2+H30*T^3</f>
        <v>31.478140625000002</v>
      </c>
      <c r="D30" s="3" t="s">
        <v>25</v>
      </c>
      <c r="E30" s="3">
        <v>28.141999999999999</v>
      </c>
      <c r="F30" s="5">
        <v>1.67E-3</v>
      </c>
      <c r="G30" s="5">
        <v>5.3700000000000003E-6</v>
      </c>
      <c r="H30" s="5">
        <v>-2.2210000000000001E-9</v>
      </c>
      <c r="I30" s="3" t="s">
        <v>23</v>
      </c>
      <c r="J30" s="3">
        <f>E30-0.5*E42-E44</f>
        <v>6.9819999999999993</v>
      </c>
      <c r="K30" s="5">
        <f>F30-0.5*F42-F44</f>
        <v>-5.9249999999999997E-3</v>
      </c>
      <c r="L30" s="5">
        <f>G30-0.5*G42-G44</f>
        <v>8.9449999999999999E-6</v>
      </c>
      <c r="M30" s="5">
        <f>H30-0.5*H42-H44</f>
        <v>-2.8765000000000001E-9</v>
      </c>
      <c r="N30" s="3">
        <v>-110.53</v>
      </c>
      <c r="O30" s="14">
        <f>N30+(-J30*TR-K30*TR^2/2-L30*TR^3/3-M30*TR^4/4)/1000</f>
        <v>-112.42078863222876</v>
      </c>
      <c r="P30" s="14">
        <f>(1/Rg)*(-O30/TR+(J30*LN(TR)+K30*TR/2+L30*TR^2/6+M30*TR^3/12)/1000)</f>
        <v>50.068715264266025</v>
      </c>
      <c r="Q30" s="6">
        <f>-137.2/(Rg*TR)</f>
        <v>-55.376796315102041</v>
      </c>
      <c r="R30" s="6">
        <f>Q30+P30+(1/Rg)*(O30/T+(-J30*LN(T)-K30*T/2-L30*T^2/6-M30*T^3/12)/1000)</f>
        <v>-28.718151746992095</v>
      </c>
      <c r="S30" s="14">
        <f>O30+(J30*T+K30*T^2/2+L30*T^3/3+M30*T^4/4)/1000</f>
        <v>-107.82033990176001</v>
      </c>
      <c r="T30" s="6">
        <f>R30*Rg*T</f>
        <v>-179.07203521836922</v>
      </c>
      <c r="U30" s="3">
        <v>-137.19999999999999</v>
      </c>
    </row>
    <row r="31" spans="1:21" ht="18" x14ac:dyDescent="0.35">
      <c r="A31" s="3"/>
      <c r="B31" s="11"/>
      <c r="C31" s="6">
        <f>E31+F31*T+G31*T^2+H31*T^3</f>
        <v>38.089234375000004</v>
      </c>
      <c r="D31" s="3" t="s">
        <v>29</v>
      </c>
      <c r="E31" s="3">
        <v>32.218000000000004</v>
      </c>
      <c r="F31" s="5">
        <v>1.92E-3</v>
      </c>
      <c r="G31" s="5">
        <v>1.0550000000000001E-5</v>
      </c>
      <c r="H31" s="5">
        <v>-3.5629999999999998E-9</v>
      </c>
      <c r="I31" s="3" t="s">
        <v>23</v>
      </c>
      <c r="J31" s="3">
        <f>E31-0.5*E42-E45</f>
        <v>-9.5999999999999979</v>
      </c>
      <c r="K31" s="5">
        <f>F31-0.6*F42-F45</f>
        <v>-5.2740000000000009E-3</v>
      </c>
      <c r="L31" s="5">
        <f>G31-0.5*G42-G45</f>
        <v>1.0125000000000002E-5</v>
      </c>
      <c r="M31" s="5">
        <f>H31-0.5*H42-H45</f>
        <v>-3.3484999999999998E-9</v>
      </c>
      <c r="N31" s="3">
        <v>-241.83</v>
      </c>
      <c r="O31" s="14">
        <f>N31+(-J31*TR-K31*TR^2/2-L31*TR^3/3-M31*TR^4/4)/1000</f>
        <v>-238.81773678133302</v>
      </c>
      <c r="P31" s="14">
        <f>(1/Rg)*(-O31/TR+(J31*LN(TR)+K31*TR/2+L31*TR^2/6+M31*TR^3/12)/1000)</f>
        <v>89.736149881449535</v>
      </c>
      <c r="Q31" s="6">
        <f>-228.6/(Rg*TR)</f>
        <v>-92.26775246087702</v>
      </c>
      <c r="R31" s="6">
        <f>Q31+P31+(1/Rg)*(O31/T+(-J31*LN(T)-K31*T/2-L31*T^2/6-M31*T^3/12)/1000)</f>
        <v>-33.049367109853392</v>
      </c>
      <c r="S31" s="14">
        <f>O31+(J31*T+K31*T^2/2+L31*T^3/3+M31*T^4/4)/1000</f>
        <v>-246.34209273836427</v>
      </c>
      <c r="T31" s="6">
        <f>R31*Rg*T</f>
        <v>-206.07932861349084</v>
      </c>
      <c r="U31" s="3">
        <v>-228.6</v>
      </c>
    </row>
    <row r="32" spans="1:21" ht="18" x14ac:dyDescent="0.35">
      <c r="A32" s="3"/>
      <c r="B32" s="3"/>
      <c r="C32" s="6">
        <f>E32+F32*T+G32*T^2+H32*T^3</f>
        <v>29.53096875</v>
      </c>
      <c r="D32" s="3" t="s">
        <v>30</v>
      </c>
      <c r="E32" s="3">
        <v>29.088000000000001</v>
      </c>
      <c r="F32" s="5">
        <v>-1.92E-3</v>
      </c>
      <c r="G32" s="5">
        <v>3.9999999999999998E-6</v>
      </c>
      <c r="H32" s="5">
        <v>-8.6999999999999999E-10</v>
      </c>
      <c r="I32" s="3" t="s">
        <v>23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6">
        <f>N32+(-J32*TR-K32*TR^2/2-L32*TR^3/3-M32*TR^4/4)/1000</f>
        <v>0</v>
      </c>
      <c r="P32" s="6">
        <f>(1/Rg)*(-O32/TR+(J32*LN(TR)+K32*TR/2+L32*TR^2/6+M32*TR^3/12)/1000)</f>
        <v>0</v>
      </c>
      <c r="Q32" s="6">
        <v>0</v>
      </c>
      <c r="R32" s="6">
        <f>Q32+P32+(1/Rg)*(O32/T+(-J32*LN(T)-K32*T/2-L32*T^2/6-M32*T^3/12)/1000)</f>
        <v>0</v>
      </c>
      <c r="S32" s="6">
        <f>O32+(J32*T+K32*T^2/2+L32*T^3/3+M32*T^4/4)/1000</f>
        <v>0</v>
      </c>
      <c r="T32" s="6">
        <v>0</v>
      </c>
      <c r="U32" s="6">
        <v>0</v>
      </c>
    </row>
    <row r="33" spans="1:15" hidden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hidden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5" hidden="1" x14ac:dyDescent="0.25">
      <c r="D35" s="3"/>
      <c r="E35" s="3"/>
      <c r="F35" s="3"/>
      <c r="G35" s="3"/>
      <c r="H35" s="3"/>
      <c r="I35" s="3"/>
      <c r="J35" s="3"/>
      <c r="K35" s="3"/>
      <c r="L35" s="3"/>
    </row>
    <row r="36" spans="1:15" hidden="1" x14ac:dyDescent="0.25">
      <c r="D36" s="3"/>
      <c r="E36" s="3"/>
      <c r="F36" s="3"/>
      <c r="G36" s="3"/>
      <c r="H36" s="3"/>
      <c r="I36" s="3"/>
      <c r="J36" s="3"/>
      <c r="K36" s="3"/>
      <c r="L36" s="3"/>
    </row>
    <row r="37" spans="1:15" hidden="1" x14ac:dyDescent="0.25">
      <c r="D37" s="3"/>
      <c r="E37" s="3"/>
      <c r="F37" s="3"/>
      <c r="G37" s="3"/>
      <c r="H37" s="3"/>
      <c r="I37" s="3"/>
      <c r="J37" s="3"/>
      <c r="K37" s="3"/>
      <c r="L37" s="3"/>
    </row>
    <row r="38" spans="1:15" hidden="1" x14ac:dyDescent="0.25">
      <c r="D38" s="3"/>
      <c r="E38" s="3"/>
      <c r="F38" s="3"/>
      <c r="G38" s="3"/>
      <c r="H38" s="3"/>
      <c r="I38" s="3"/>
      <c r="J38" s="3"/>
      <c r="K38" s="3"/>
      <c r="L38" s="3"/>
    </row>
    <row r="39" spans="1:15" x14ac:dyDescent="0.25">
      <c r="D39" s="3"/>
      <c r="E39" s="3"/>
      <c r="F39" s="3"/>
      <c r="G39" s="3"/>
      <c r="H39" s="3"/>
      <c r="I39" s="3"/>
      <c r="J39" s="3"/>
      <c r="K39" s="3"/>
      <c r="L39" s="3"/>
    </row>
    <row r="40" spans="1:15" ht="15.75" thickBot="1" x14ac:dyDescent="0.3">
      <c r="C40" s="16" t="s">
        <v>43</v>
      </c>
      <c r="D40" s="3"/>
      <c r="E40" s="44" t="s">
        <v>66</v>
      </c>
      <c r="F40" s="44"/>
      <c r="G40" s="44"/>
      <c r="H40" s="44"/>
    </row>
    <row r="41" spans="1:15" ht="18" x14ac:dyDescent="0.35">
      <c r="C41" s="10" t="s">
        <v>46</v>
      </c>
      <c r="D41" s="34" t="s">
        <v>11</v>
      </c>
      <c r="E41" s="10" t="s">
        <v>7</v>
      </c>
      <c r="F41" s="10" t="s">
        <v>8</v>
      </c>
      <c r="G41" s="10" t="s">
        <v>9</v>
      </c>
      <c r="H41" s="10" t="s">
        <v>10</v>
      </c>
      <c r="I41" s="9" t="s">
        <v>24</v>
      </c>
    </row>
    <row r="42" spans="1:15" ht="18" x14ac:dyDescent="0.35">
      <c r="C42" s="6">
        <f>E42+F42*T+G42*T^2+H42*T^3</f>
        <v>33.383703124999997</v>
      </c>
      <c r="D42" s="3" t="s">
        <v>35</v>
      </c>
      <c r="E42" s="3">
        <v>25.46</v>
      </c>
      <c r="F42" s="5">
        <v>1.519E-2</v>
      </c>
      <c r="G42" s="5">
        <v>-7.1500000000000002E-6</v>
      </c>
      <c r="H42" s="5">
        <v>1.3109999999999999E-9</v>
      </c>
      <c r="I42" s="3" t="s">
        <v>23</v>
      </c>
    </row>
    <row r="43" spans="1:15" ht="18" x14ac:dyDescent="0.35">
      <c r="C43" s="6">
        <f>E43+F43*T+G43*T^2+H43*T^3</f>
        <v>31.039296875000002</v>
      </c>
      <c r="D43" s="3" t="s">
        <v>36</v>
      </c>
      <c r="E43" s="3">
        <v>28.882999999999999</v>
      </c>
      <c r="F43" s="5">
        <v>-1.57E-3</v>
      </c>
      <c r="G43" s="5">
        <v>8.0800000000000006E-6</v>
      </c>
      <c r="H43" s="5">
        <v>-2.8710000000000001E-9</v>
      </c>
      <c r="I43" s="3" t="s">
        <v>23</v>
      </c>
      <c r="N43" s="18"/>
    </row>
    <row r="44" spans="1:15" x14ac:dyDescent="0.25">
      <c r="C44" s="6">
        <f>E44+F44*T+G44*T^2+H44*T^3</f>
        <v>8.43</v>
      </c>
      <c r="D44" s="3" t="s">
        <v>9</v>
      </c>
      <c r="E44" s="3">
        <v>8.43</v>
      </c>
      <c r="F44" s="5">
        <v>0</v>
      </c>
      <c r="G44" s="5">
        <v>0</v>
      </c>
      <c r="H44" s="5">
        <v>0</v>
      </c>
      <c r="I44" s="5" t="s">
        <v>44</v>
      </c>
      <c r="J44" s="5"/>
    </row>
    <row r="45" spans="1:15" ht="18" x14ac:dyDescent="0.35">
      <c r="C45" s="36">
        <f>E45+F45*T+G45*T^2+H45*T^3</f>
        <v>29.53096875</v>
      </c>
      <c r="D45" s="10" t="s">
        <v>30</v>
      </c>
      <c r="E45" s="10">
        <v>29.088000000000001</v>
      </c>
      <c r="F45" s="38">
        <v>-1.92E-3</v>
      </c>
      <c r="G45" s="38">
        <v>3.9999999999999998E-6</v>
      </c>
      <c r="H45" s="38">
        <v>-8.6999999999999999E-10</v>
      </c>
      <c r="I45" s="10" t="s">
        <v>23</v>
      </c>
    </row>
    <row r="46" spans="1:15" x14ac:dyDescent="0.25">
      <c r="D46" s="3"/>
      <c r="E46" s="3"/>
      <c r="F46" s="3"/>
      <c r="G46" s="3"/>
      <c r="H46" s="3"/>
    </row>
    <row r="48" spans="1:15" x14ac:dyDescent="0.25">
      <c r="C48" s="18" t="s">
        <v>48</v>
      </c>
      <c r="H48" t="s">
        <v>47</v>
      </c>
    </row>
    <row r="49" spans="2:8" ht="18.75" thickBot="1" x14ac:dyDescent="0.4">
      <c r="C49" s="12" t="s">
        <v>6</v>
      </c>
      <c r="D49" s="12" t="s">
        <v>61</v>
      </c>
      <c r="E49" s="12" t="s">
        <v>62</v>
      </c>
      <c r="F49" s="12" t="s">
        <v>63</v>
      </c>
      <c r="G49" s="12" t="s">
        <v>49</v>
      </c>
      <c r="H49" s="12" t="s">
        <v>49</v>
      </c>
    </row>
    <row r="50" spans="2:8" x14ac:dyDescent="0.25">
      <c r="C50" s="3">
        <f>T</f>
        <v>750</v>
      </c>
      <c r="D50" s="14">
        <f>S29-S30-S31</f>
        <v>-37.248164342930636</v>
      </c>
      <c r="E50" s="6">
        <f>F50*Rg*T</f>
        <v>-11.212182796109127</v>
      </c>
      <c r="F50" s="6">
        <f>R29-R30-R31</f>
        <v>-1.7981208878372428</v>
      </c>
      <c r="G50" s="19">
        <f>EXP(-F50)</f>
        <v>6.0382901724368603</v>
      </c>
      <c r="H50" s="20">
        <f>10^(-2.4198+0.0003855*T+2180.6/T)</f>
        <v>5.9812460273121237</v>
      </c>
    </row>
    <row r="51" spans="2:8" x14ac:dyDescent="0.25">
      <c r="C51" s="3">
        <v>298</v>
      </c>
      <c r="D51" s="14">
        <f t="dataTable" ref="D51:H55" dt2D="0" dtr="0" r1="B9"/>
        <v>-41.150000000000006</v>
      </c>
      <c r="E51" s="6">
        <v>-28.599999999999998</v>
      </c>
      <c r="F51" s="6">
        <v>-11.543559581719521</v>
      </c>
      <c r="G51" s="31">
        <v>103110.81696516505</v>
      </c>
      <c r="H51" s="31">
        <v>102926.84590259758</v>
      </c>
    </row>
    <row r="52" spans="2:8" x14ac:dyDescent="0.25">
      <c r="C52" s="3">
        <v>400</v>
      </c>
      <c r="D52" s="14">
        <v>-40.617465950222226</v>
      </c>
      <c r="E52" s="6">
        <v>-24.378450259620696</v>
      </c>
      <c r="F52" s="6">
        <v>-7.3305419351758161</v>
      </c>
      <c r="G52" s="7">
        <v>1526.208654067352</v>
      </c>
      <c r="H52" s="7">
        <v>1534.2636648592795</v>
      </c>
    </row>
    <row r="53" spans="2:8" x14ac:dyDescent="0.25">
      <c r="C53" s="3">
        <v>600</v>
      </c>
      <c r="D53" s="14">
        <v>-38.900311283555624</v>
      </c>
      <c r="E53" s="6">
        <v>-16.600392270988024</v>
      </c>
      <c r="F53" s="6">
        <v>-3.3277989477563992</v>
      </c>
      <c r="G53" s="6">
        <v>27.876915579400858</v>
      </c>
      <c r="H53" s="6">
        <v>27.914723685435153</v>
      </c>
    </row>
    <row r="54" spans="2:8" x14ac:dyDescent="0.25">
      <c r="C54" s="3">
        <v>800</v>
      </c>
      <c r="D54" s="14">
        <v>-36.659044616888963</v>
      </c>
      <c r="E54" s="6">
        <v>-9.4955909210651726</v>
      </c>
      <c r="F54" s="6">
        <v>-1.4276507879879077</v>
      </c>
      <c r="G54" s="6">
        <v>4.1688940632590548</v>
      </c>
      <c r="H54" s="6">
        <v>4.1148120218425648</v>
      </c>
    </row>
    <row r="55" spans="2:8" x14ac:dyDescent="0.25">
      <c r="C55" s="10">
        <v>1000</v>
      </c>
      <c r="D55" s="35">
        <v>-34.228325150222247</v>
      </c>
      <c r="E55" s="36">
        <v>-2.9847329056265903</v>
      </c>
      <c r="F55" s="36">
        <v>-0.3590008306021879</v>
      </c>
      <c r="G55" s="36">
        <v>1.4318979909087688</v>
      </c>
      <c r="H55" s="36">
        <v>1.4005544572422317</v>
      </c>
    </row>
    <row r="57" spans="2:8" ht="18" x14ac:dyDescent="0.35">
      <c r="C57" t="s">
        <v>69</v>
      </c>
    </row>
    <row r="58" spans="2:8" ht="18" x14ac:dyDescent="0.35">
      <c r="C58" t="s">
        <v>70</v>
      </c>
    </row>
    <row r="59" spans="2:8" ht="18" x14ac:dyDescent="0.35">
      <c r="D59" s="3" t="s">
        <v>71</v>
      </c>
      <c r="E59" s="3" t="s">
        <v>49</v>
      </c>
    </row>
    <row r="60" spans="2:8" ht="18.75" thickBot="1" x14ac:dyDescent="0.4">
      <c r="C60" s="32" t="s">
        <v>16</v>
      </c>
      <c r="D60" s="12" t="s">
        <v>4</v>
      </c>
      <c r="E60" s="12" t="s">
        <v>4</v>
      </c>
    </row>
    <row r="61" spans="2:8" ht="18" x14ac:dyDescent="0.35">
      <c r="C61" s="3" t="s">
        <v>28</v>
      </c>
      <c r="D61" s="19">
        <v>1.4215124368666443</v>
      </c>
      <c r="E61" s="3">
        <v>1.4215</v>
      </c>
    </row>
    <row r="62" spans="2:8" x14ac:dyDescent="0.25">
      <c r="B62" s="3"/>
      <c r="C62" s="3" t="s">
        <v>25</v>
      </c>
      <c r="D62" s="19">
        <v>0.57848757374152315</v>
      </c>
      <c r="E62" s="3">
        <v>0.57849537486910552</v>
      </c>
    </row>
    <row r="63" spans="2:8" ht="18" x14ac:dyDescent="0.35">
      <c r="B63" s="3"/>
      <c r="C63" s="3" t="s">
        <v>29</v>
      </c>
      <c r="D63" s="19">
        <v>0.57848757374167958</v>
      </c>
      <c r="E63" s="3">
        <v>0.57849537486910552</v>
      </c>
    </row>
    <row r="64" spans="2:8" ht="18" x14ac:dyDescent="0.35">
      <c r="B64" s="3"/>
      <c r="C64" s="10" t="s">
        <v>30</v>
      </c>
      <c r="D64" s="37">
        <v>1.4215124377785069</v>
      </c>
      <c r="E64" s="10">
        <v>1.4215</v>
      </c>
    </row>
    <row r="65" spans="2:3" x14ac:dyDescent="0.25">
      <c r="B65" s="3"/>
      <c r="C65" s="3"/>
    </row>
    <row r="66" spans="2:3" x14ac:dyDescent="0.25">
      <c r="B66" s="3"/>
      <c r="C66" s="3"/>
    </row>
  </sheetData>
  <mergeCells count="4">
    <mergeCell ref="L7:O7"/>
    <mergeCell ref="E27:H27"/>
    <mergeCell ref="J27:M27"/>
    <mergeCell ref="E40:H40"/>
  </mergeCells>
  <hyperlinks>
    <hyperlink ref="G5" r:id="rId1"/>
  </hyperlinks>
  <pageMargins left="0.7" right="0.7" top="0.75" bottom="0.75" header="0.3" footer="0.3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ntot</vt:lpstr>
      <vt:lpstr>P</vt:lpstr>
      <vt:lpstr>Rg</vt:lpstr>
      <vt:lpstr>T</vt:lpstr>
      <vt:lpstr>TR</vt:lpstr>
    </vt:vector>
  </TitlesOfParts>
  <Company>University of Colorado at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 Falconer</dc:creator>
  <cp:lastModifiedBy>John L Falconer</cp:lastModifiedBy>
  <dcterms:created xsi:type="dcterms:W3CDTF">2020-11-13T16:15:03Z</dcterms:created>
  <dcterms:modified xsi:type="dcterms:W3CDTF">2020-11-29T14:24:01Z</dcterms:modified>
</cp:coreProperties>
</file>